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<sst xmlns="http://schemas.openxmlformats.org/spreadsheetml/2006/main" count="448" uniqueCount="196">
  <si>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</si>
  <si>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</si>
  <si>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</si>
  <si>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</si>
  <si>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</si>
  <si>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</si>
  <si>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</si>
  <si>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</si>
  <si>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</si>
  <si>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</si>
  <si>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</si>
  <si>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</si>
  <si>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</si>
  <si>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</si>
  <si>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</si>
  <si>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</si>
  <si>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</si>
  <si>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</si>
  <si>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</si>
  <si>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</si>
  <si>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</si>
  <si>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</si>
  <si>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</si>
  <si>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</si>
  <si>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</si>
  <si>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</si>
  <si>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</si>
  <si>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</si>
  <si>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</si>
  <si>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</si>
  <si>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</si>
  <si>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</si>
  <si>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</si>
  <si>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</si>
  <si>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</si>
  <si>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</si>
  <si>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</si>
  <si>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</si>
  <si>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</si>
  <si>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</si>
  <si>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</si>
  <si>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</si>
  <si>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</si>
  <si>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</si>
  <si>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</si>
  <si>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</si>
  <si>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</si>
  <si>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</si>
  <si>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</si>
  <si>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</si>
  <si>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</si>
  <si>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</si>
  <si>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</si>
  <si>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</si>
  <si>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</si>
  <si>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</si>
  <si>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</si>
  <si>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</si>
  <si>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</si>
  <si>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</si>
  <si>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</si>
  <si>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</si>
  <si>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</si>
  <si>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</si>
  <si>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</si>
  <si>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</si>
  <si>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</si>
  <si>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</si>
  <si>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</si>
  <si>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</si>
  <si>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</si>
  <si>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</si>
  <si>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</si>
  <si>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</si>
  <si>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650 0102 4090201 121 211</t>
  </si>
  <si>
    <t>Начисления на выплаты по оплате труда</t>
  </si>
  <si>
    <t>650 0102 4090201 121 213</t>
  </si>
  <si>
    <t>650 0104 4090204 121 211</t>
  </si>
  <si>
    <t>650 0104 4090204 121 213</t>
  </si>
  <si>
    <t>Прочие выплаты</t>
  </si>
  <si>
    <t>650 0104 4090204 122 212</t>
  </si>
  <si>
    <t>-</t>
  </si>
  <si>
    <t>Транспортные услуги</t>
  </si>
  <si>
    <t>650 0104 4090204 122 222</t>
  </si>
  <si>
    <t>Прочие работы, услуги</t>
  </si>
  <si>
    <t>650 0104 4090204 122 226</t>
  </si>
  <si>
    <t>Услуги связи</t>
  </si>
  <si>
    <t>650 0104 4090204 244 221</t>
  </si>
  <si>
    <t>650 0104 4090204 244 226</t>
  </si>
  <si>
    <t>Прочие расходы</t>
  </si>
  <si>
    <t>650 0104 4090204 244 290</t>
  </si>
  <si>
    <t>Увеличение стоимости основных средств</t>
  </si>
  <si>
    <t>650 0104 4090204 244 310</t>
  </si>
  <si>
    <t>Увеличение стоимости материальных запасов</t>
  </si>
  <si>
    <t>650 0104 4090204 244 340</t>
  </si>
  <si>
    <t>650 0104 4090204 852 290</t>
  </si>
  <si>
    <t>650 0104 4090204 853 290</t>
  </si>
  <si>
    <t>650 0111 4090705 870 290</t>
  </si>
  <si>
    <t>650 0113 4090092 244 290</t>
  </si>
  <si>
    <t>650 0113 4090092 244 310</t>
  </si>
  <si>
    <t>650 0113 4090092 244 340</t>
  </si>
  <si>
    <t>650 0113 4090092 831 290</t>
  </si>
  <si>
    <t>650 0113 4090240 122 212</t>
  </si>
  <si>
    <t>650 0113 4090240 244 222</t>
  </si>
  <si>
    <t>Коммунальные услуги</t>
  </si>
  <si>
    <t>650 0113 4090240 244 223</t>
  </si>
  <si>
    <t>Работы, услуги по содержанию имущества</t>
  </si>
  <si>
    <t>650 0113 4090240 244 225</t>
  </si>
  <si>
    <t>650 0113 4090240 244 226</t>
  </si>
  <si>
    <t>650 0113 4090240 244 340</t>
  </si>
  <si>
    <t>650 0113 4090240 851 290</t>
  </si>
  <si>
    <t>650 0113 4090240 852 290</t>
  </si>
  <si>
    <t>650 0203 4090118 244 222</t>
  </si>
  <si>
    <t>650 0203 4095118 121 211</t>
  </si>
  <si>
    <t>650 0203 4095118 121 213</t>
  </si>
  <si>
    <t>650 0304 4095930 121 211</t>
  </si>
  <si>
    <t>650 0304 4095930 121 213</t>
  </si>
  <si>
    <t>650 0309 4092800 244 340</t>
  </si>
  <si>
    <t>650 0309 4092801 244 225</t>
  </si>
  <si>
    <t>650 0309 4092801 244 226</t>
  </si>
  <si>
    <t>650 0309 4092801 244 340</t>
  </si>
  <si>
    <t>650 0314 4091443 244 226</t>
  </si>
  <si>
    <t>650 0314 4095443 244 226</t>
  </si>
  <si>
    <t>650 0409 4092441 244 225</t>
  </si>
  <si>
    <t>650 0409 4092441 244 226</t>
  </si>
  <si>
    <t>650 0409 4092441 244 310</t>
  </si>
  <si>
    <t>650 0409 4092441 244 340</t>
  </si>
  <si>
    <t>650 0410 4090240 244 221</t>
  </si>
  <si>
    <t>650 0410 4090240 244 225</t>
  </si>
  <si>
    <t>650 0410 4090240 244 226</t>
  </si>
  <si>
    <t>650 0410 4090240 244 310</t>
  </si>
  <si>
    <t>650 0410 4090240 244 340</t>
  </si>
  <si>
    <t>650 0503 4092711 244 223</t>
  </si>
  <si>
    <t>650 0503 4092711 244 225</t>
  </si>
  <si>
    <t>650 0503 4092711 244 226</t>
  </si>
  <si>
    <t>650 0503 4092714 244 225</t>
  </si>
  <si>
    <t>650 0503 4092714 244 310</t>
  </si>
  <si>
    <t>650 0603 4092410 244 340</t>
  </si>
  <si>
    <t>650 0707 4092101 244 222</t>
  </si>
  <si>
    <t>650 0707 4092101 244 290</t>
  </si>
  <si>
    <t>650 0707 4092101 244 340</t>
  </si>
  <si>
    <t>Безвозмездные перечисления государственным и муниципальным организациям</t>
  </si>
  <si>
    <t>650 0801 4090059 611 241</t>
  </si>
  <si>
    <t>650 0801 4090059 612 241</t>
  </si>
  <si>
    <t>650 0801 4095471 611 241</t>
  </si>
  <si>
    <t>Пенсии, пособия, выплачиваемые организациями сектора государственного управления</t>
  </si>
  <si>
    <t>650 1001 4093491 312 263</t>
  </si>
  <si>
    <t>Пособия по социальной помощи населению</t>
  </si>
  <si>
    <t>650 1003 4093514 313 262</t>
  </si>
  <si>
    <t>650 1101 4090059 111 211</t>
  </si>
  <si>
    <t>650 1101 4090059 111 213</t>
  </si>
  <si>
    <t>650 1101 4090059 112 212</t>
  </si>
  <si>
    <t>650 1101 4090059 112 226</t>
  </si>
  <si>
    <t>650 1101 4090059 244 221</t>
  </si>
  <si>
    <t>650 1101 4090059 244 222</t>
  </si>
  <si>
    <t>650 1101 4090059 244 223</t>
  </si>
  <si>
    <t>650 1101 4090059 244 225</t>
  </si>
  <si>
    <t>650 1101 4090059 244 226</t>
  </si>
  <si>
    <t>650 1101 4090059 244 290</t>
  </si>
  <si>
    <t>650 1101 4090059 244 310</t>
  </si>
  <si>
    <t>650 1101 4090059 244 340</t>
  </si>
  <si>
    <t>650 1101 4090059 851 290</t>
  </si>
  <si>
    <t>650 1101 4090059 852 290</t>
  </si>
  <si>
    <t>Перечисления другим бюджетам бюджетной системы Российской Федерации</t>
  </si>
  <si>
    <t>650 1403 4094300 540 251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</si>
  <si>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</si>
  <si>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</si>
  <si>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</si>
  <si>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</si>
  <si>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</si>
  <si>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</si>
  <si>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</si>
  <si>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</si>
  <si>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</si>
  <si>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</si>
  <si>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</si>
  <si>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</si>
  <si>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</si>
  <si>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</si>
  <si>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</si>
  <si>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</si>
  <si>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</si>
  <si>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</si>
  <si>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</si>
  <si>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</si>
  <si>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</si>
  <si>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Заместитель главного бухгалтера бухгалтер</t>
  </si>
  <si>
    <t>Кузнецова Р. Р.</t>
  </si>
  <si>
    <t>Исполнитель:</t>
  </si>
  <si>
    <t>Главный специалист</t>
  </si>
  <si>
    <t>Григорьева Т. А.</t>
  </si>
  <si>
    <t>(должность)</t>
  </si>
  <si>
    <t xml:space="preserve">   2 июля 2015 г.   </t>
  </si>
  <si>
    <t>650 01050000 00 0000 000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</si>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</sst>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tabSelected="1" zoomScalePageLayoutView="0" workbookViewId="0" topLeftCell="A109">
      <selection activeCell="A118" sqref="A118:K11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5.8515625" style="1" customWidth="1"/>
    <col min="12" max="13" width="3.7109375" style="1" customWidth="1"/>
    <col min="14" max="14" width="2.7109375" style="1" customWidth="1"/>
    <col min="15" max="15" width="19.14062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0039062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42186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65425516.9</f>
        <v>65425516.9</v>
      </c>
      <c r="Q12" s="21"/>
      <c r="R12" s="21"/>
      <c r="S12" s="21">
        <f>30166381.21</f>
        <v>30166381.21</v>
      </c>
      <c r="T12" s="21"/>
      <c r="U12" s="21"/>
      <c r="V12" s="21"/>
      <c r="W12" s="22">
        <f>35259135.69</f>
        <v>35259135.69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4312100</f>
        <v>4312100</v>
      </c>
      <c r="Q13" s="25"/>
      <c r="R13" s="25"/>
      <c r="S13" s="25">
        <f>1900976.77</f>
        <v>1900976.77</v>
      </c>
      <c r="T13" s="25"/>
      <c r="U13" s="25"/>
      <c r="V13" s="25"/>
      <c r="W13" s="26">
        <f>2411123.23</f>
        <v>2411123.23</v>
      </c>
      <c r="X13" s="26"/>
    </row>
    <row r="14" spans="1:24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30000</f>
        <v>30000</v>
      </c>
      <c r="Q14" s="25"/>
      <c r="R14" s="25"/>
      <c r="S14" s="25">
        <f>5499.6</f>
        <v>5499.6</v>
      </c>
      <c r="T14" s="25"/>
      <c r="U14" s="25"/>
      <c r="V14" s="25"/>
      <c r="W14" s="26">
        <f>24500.4</f>
        <v>24500.4</v>
      </c>
      <c r="X14" s="26"/>
    </row>
    <row r="15" spans="1:24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10000</f>
        <v>10000</v>
      </c>
      <c r="Q15" s="25"/>
      <c r="R15" s="25"/>
      <c r="S15" s="25">
        <f>413.05</f>
        <v>413.05</v>
      </c>
      <c r="T15" s="25"/>
      <c r="U15" s="25"/>
      <c r="V15" s="25"/>
      <c r="W15" s="26">
        <f>9586.95</f>
        <v>9586.95</v>
      </c>
      <c r="X15" s="26"/>
    </row>
    <row r="16" spans="1:24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5">
        <f>233500</f>
        <v>233500</v>
      </c>
      <c r="Q16" s="25"/>
      <c r="R16" s="25"/>
      <c r="S16" s="25">
        <f>78458.56</f>
        <v>78458.56</v>
      </c>
      <c r="T16" s="25"/>
      <c r="U16" s="25"/>
      <c r="V16" s="25"/>
      <c r="W16" s="26">
        <f>155041.44</f>
        <v>155041.44</v>
      </c>
      <c r="X16" s="26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48</v>
      </c>
      <c r="O17" s="24"/>
      <c r="P17" s="25">
        <f>6074</f>
        <v>6074</v>
      </c>
      <c r="Q17" s="25"/>
      <c r="R17" s="25"/>
      <c r="S17" s="25">
        <f>3390.08</f>
        <v>3390.08</v>
      </c>
      <c r="T17" s="25"/>
      <c r="U17" s="25"/>
      <c r="V17" s="25"/>
      <c r="W17" s="26">
        <f>2683.92</f>
        <v>2683.92</v>
      </c>
      <c r="X17" s="26"/>
    </row>
    <row r="18" spans="1:24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50</v>
      </c>
      <c r="O18" s="24"/>
      <c r="P18" s="25">
        <f>9626</f>
        <v>9626</v>
      </c>
      <c r="Q18" s="25"/>
      <c r="R18" s="25"/>
      <c r="S18" s="25">
        <f>15202.63</f>
        <v>15202.63</v>
      </c>
      <c r="T18" s="25"/>
      <c r="U18" s="25"/>
      <c r="V18" s="25"/>
      <c r="W18" s="26">
        <f>-5576.63</f>
        <v>-5576.63</v>
      </c>
      <c r="X18" s="26"/>
    </row>
    <row r="19" spans="1:24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23380</f>
        <v>23380</v>
      </c>
      <c r="T19" s="25"/>
      <c r="U19" s="25"/>
      <c r="V19" s="25"/>
      <c r="W19" s="26">
        <f>56620</f>
        <v>56620</v>
      </c>
      <c r="X19" s="26"/>
    </row>
    <row r="20" spans="1:24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54</v>
      </c>
      <c r="O20" s="24"/>
      <c r="P20" s="25">
        <f>54000</f>
        <v>54000</v>
      </c>
      <c r="Q20" s="25"/>
      <c r="R20" s="25"/>
      <c r="S20" s="25">
        <f>7307.68</f>
        <v>7307.68</v>
      </c>
      <c r="T20" s="25"/>
      <c r="U20" s="25"/>
      <c r="V20" s="25"/>
      <c r="W20" s="26">
        <f>46692.32</f>
        <v>46692.32</v>
      </c>
      <c r="X20" s="26"/>
    </row>
    <row r="21" spans="1:24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56</v>
      </c>
      <c r="O21" s="24"/>
      <c r="P21" s="25">
        <f>18896100</f>
        <v>18896100</v>
      </c>
      <c r="Q21" s="25"/>
      <c r="R21" s="25"/>
      <c r="S21" s="25">
        <f>9448050</f>
        <v>9448050</v>
      </c>
      <c r="T21" s="25"/>
      <c r="U21" s="25"/>
      <c r="V21" s="25"/>
      <c r="W21" s="26">
        <f>9448050</f>
        <v>9448050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58</v>
      </c>
      <c r="O22" s="24"/>
      <c r="P22" s="25">
        <f>8391600</f>
        <v>8391600</v>
      </c>
      <c r="Q22" s="25"/>
      <c r="R22" s="25"/>
      <c r="S22" s="25">
        <f>2743700</f>
        <v>2743700</v>
      </c>
      <c r="T22" s="25"/>
      <c r="U22" s="25"/>
      <c r="V22" s="25"/>
      <c r="W22" s="26">
        <f>5647900</f>
        <v>5647900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60</v>
      </c>
      <c r="O23" s="24"/>
      <c r="P23" s="25">
        <f>27180</f>
        <v>27180</v>
      </c>
      <c r="Q23" s="25"/>
      <c r="R23" s="25"/>
      <c r="S23" s="25">
        <f>13590</f>
        <v>13590</v>
      </c>
      <c r="T23" s="25"/>
      <c r="U23" s="25"/>
      <c r="V23" s="25"/>
      <c r="W23" s="26">
        <f>13590</f>
        <v>13590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62</v>
      </c>
      <c r="O24" s="24"/>
      <c r="P24" s="25">
        <f>360796</f>
        <v>360796</v>
      </c>
      <c r="Q24" s="25"/>
      <c r="R24" s="25"/>
      <c r="S24" s="25">
        <f>349560</f>
        <v>349560</v>
      </c>
      <c r="T24" s="25"/>
      <c r="U24" s="25"/>
      <c r="V24" s="25"/>
      <c r="W24" s="26">
        <f>11236</f>
        <v>11236</v>
      </c>
      <c r="X24" s="26"/>
    </row>
    <row r="25" spans="1:24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64</v>
      </c>
      <c r="O25" s="24"/>
      <c r="P25" s="25">
        <f>76200</f>
        <v>76200</v>
      </c>
      <c r="Q25" s="25"/>
      <c r="R25" s="25"/>
      <c r="S25" s="25">
        <f>38100</f>
        <v>38100</v>
      </c>
      <c r="T25" s="25"/>
      <c r="U25" s="25"/>
      <c r="V25" s="25"/>
      <c r="W25" s="26">
        <f>38100</f>
        <v>38100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66</v>
      </c>
      <c r="O26" s="24"/>
      <c r="P26" s="25">
        <f>33000569.65</f>
        <v>33000569.65</v>
      </c>
      <c r="Q26" s="25"/>
      <c r="R26" s="25"/>
      <c r="S26" s="25">
        <f>15600981.59</f>
        <v>15600981.59</v>
      </c>
      <c r="T26" s="25"/>
      <c r="U26" s="25"/>
      <c r="V26" s="25"/>
      <c r="W26" s="26">
        <f>17399588.06</f>
        <v>17399588.06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68</v>
      </c>
      <c r="O27" s="24"/>
      <c r="P27" s="25">
        <f>-62228.75</f>
        <v>-62228.75</v>
      </c>
      <c r="Q27" s="25"/>
      <c r="R27" s="25"/>
      <c r="S27" s="25">
        <f>-62228.75</f>
        <v>-62228.75</v>
      </c>
      <c r="T27" s="25"/>
      <c r="U27" s="25"/>
      <c r="V27" s="25"/>
      <c r="W27" s="26">
        <f>0</f>
        <v>0</v>
      </c>
      <c r="X27" s="26"/>
    </row>
    <row r="28" spans="1:24" s="1" customFormat="1" ht="13.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1" customFormat="1" ht="13.5" customHeight="1">
      <c r="A29" s="12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" customFormat="1" ht="34.5" customHeight="1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 t="s">
        <v>25</v>
      </c>
      <c r="M30" s="13"/>
      <c r="N30" s="13" t="s">
        <v>70</v>
      </c>
      <c r="O30" s="13"/>
      <c r="P30" s="14" t="s">
        <v>27</v>
      </c>
      <c r="Q30" s="14"/>
      <c r="R30" s="14"/>
      <c r="S30" s="14" t="s">
        <v>28</v>
      </c>
      <c r="T30" s="14"/>
      <c r="U30" s="14"/>
      <c r="V30" s="14"/>
      <c r="W30" s="15" t="s">
        <v>29</v>
      </c>
      <c r="X30" s="15"/>
    </row>
    <row r="31" spans="1:24" s="1" customFormat="1" ht="13.5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 t="s">
        <v>31</v>
      </c>
      <c r="M31" s="16"/>
      <c r="N31" s="16" t="s">
        <v>32</v>
      </c>
      <c r="O31" s="16"/>
      <c r="P31" s="17" t="s">
        <v>33</v>
      </c>
      <c r="Q31" s="17"/>
      <c r="R31" s="17"/>
      <c r="S31" s="17" t="s">
        <v>34</v>
      </c>
      <c r="T31" s="17"/>
      <c r="U31" s="17"/>
      <c r="V31" s="17"/>
      <c r="W31" s="18" t="s">
        <v>35</v>
      </c>
      <c r="X31" s="18"/>
    </row>
    <row r="32" spans="1:24" s="1" customFormat="1" ht="13.5" customHeight="1">
      <c r="A32" s="19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 t="s">
        <v>72</v>
      </c>
      <c r="M32" s="20"/>
      <c r="N32" s="20" t="s">
        <v>38</v>
      </c>
      <c r="O32" s="20"/>
      <c r="P32" s="21">
        <f>70105490.91</f>
        <v>70105490.91</v>
      </c>
      <c r="Q32" s="21"/>
      <c r="R32" s="21"/>
      <c r="S32" s="21">
        <f>31797289.37</f>
        <v>31797289.37</v>
      </c>
      <c r="T32" s="21"/>
      <c r="U32" s="21"/>
      <c r="V32" s="21"/>
      <c r="W32" s="22">
        <f>38308201.54</f>
        <v>38308201.54</v>
      </c>
      <c r="X32" s="22"/>
    </row>
    <row r="33" spans="1:24" s="1" customFormat="1" ht="13.5" customHeight="1">
      <c r="A33" s="28" t="s">
        <v>73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 t="s">
        <v>72</v>
      </c>
      <c r="M33" s="29"/>
      <c r="N33" s="29" t="s">
        <v>74</v>
      </c>
      <c r="O33" s="29"/>
      <c r="P33" s="30">
        <f>1397520.96</f>
        <v>1397520.96</v>
      </c>
      <c r="Q33" s="30"/>
      <c r="R33" s="30"/>
      <c r="S33" s="30">
        <f>699382.44</f>
        <v>699382.44</v>
      </c>
      <c r="T33" s="30"/>
      <c r="U33" s="30"/>
      <c r="V33" s="30"/>
      <c r="W33" s="31">
        <f>698138.52</f>
        <v>698138.52</v>
      </c>
      <c r="X33" s="31"/>
    </row>
    <row r="34" spans="1:24" s="1" customFormat="1" ht="13.5" customHeight="1">
      <c r="A34" s="28" t="s">
        <v>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 t="s">
        <v>72</v>
      </c>
      <c r="M34" s="29"/>
      <c r="N34" s="29" t="s">
        <v>76</v>
      </c>
      <c r="O34" s="29"/>
      <c r="P34" s="30">
        <f>283374.1</f>
        <v>283374.1</v>
      </c>
      <c r="Q34" s="30"/>
      <c r="R34" s="30"/>
      <c r="S34" s="30">
        <f>207627.36</f>
        <v>207627.36</v>
      </c>
      <c r="T34" s="30"/>
      <c r="U34" s="30"/>
      <c r="V34" s="30"/>
      <c r="W34" s="31">
        <f>75746.74</f>
        <v>75746.74</v>
      </c>
      <c r="X34" s="31"/>
    </row>
    <row r="35" spans="1:24" s="1" customFormat="1" ht="13.5" customHeight="1">
      <c r="A35" s="28" t="s">
        <v>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 t="s">
        <v>72</v>
      </c>
      <c r="M35" s="29"/>
      <c r="N35" s="29" t="s">
        <v>77</v>
      </c>
      <c r="O35" s="29"/>
      <c r="P35" s="30">
        <f>9153566</f>
        <v>9153566</v>
      </c>
      <c r="Q35" s="30"/>
      <c r="R35" s="30"/>
      <c r="S35" s="30">
        <f>4022891.87</f>
        <v>4022891.87</v>
      </c>
      <c r="T35" s="30"/>
      <c r="U35" s="30"/>
      <c r="V35" s="30"/>
      <c r="W35" s="31">
        <f>5130674.13</f>
        <v>5130674.13</v>
      </c>
      <c r="X35" s="31"/>
    </row>
    <row r="36" spans="1:24" s="1" customFormat="1" ht="13.5" customHeight="1">
      <c r="A36" s="28" t="s">
        <v>75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 t="s">
        <v>72</v>
      </c>
      <c r="M36" s="29"/>
      <c r="N36" s="29" t="s">
        <v>78</v>
      </c>
      <c r="O36" s="29"/>
      <c r="P36" s="30">
        <f>2514844.08</f>
        <v>2514844.08</v>
      </c>
      <c r="Q36" s="30"/>
      <c r="R36" s="30"/>
      <c r="S36" s="30">
        <f>1115673.29</f>
        <v>1115673.29</v>
      </c>
      <c r="T36" s="30"/>
      <c r="U36" s="30"/>
      <c r="V36" s="30"/>
      <c r="W36" s="31">
        <f>1399170.79</f>
        <v>1399170.79</v>
      </c>
      <c r="X36" s="31"/>
    </row>
    <row r="37" spans="1:24" s="1" customFormat="1" ht="13.5" customHeight="1">
      <c r="A37" s="28" t="s">
        <v>79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 t="s">
        <v>72</v>
      </c>
      <c r="M37" s="29"/>
      <c r="N37" s="29" t="s">
        <v>80</v>
      </c>
      <c r="O37" s="29"/>
      <c r="P37" s="30">
        <f>6000</f>
        <v>6000</v>
      </c>
      <c r="Q37" s="30"/>
      <c r="R37" s="30"/>
      <c r="S37" s="32" t="s">
        <v>81</v>
      </c>
      <c r="T37" s="32"/>
      <c r="U37" s="32"/>
      <c r="V37" s="32"/>
      <c r="W37" s="31">
        <f>6000</f>
        <v>6000</v>
      </c>
      <c r="X37" s="31"/>
    </row>
    <row r="38" spans="1:24" s="1" customFormat="1" ht="13.5" customHeight="1">
      <c r="A38" s="28" t="s">
        <v>82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 t="s">
        <v>72</v>
      </c>
      <c r="M38" s="29"/>
      <c r="N38" s="29" t="s">
        <v>83</v>
      </c>
      <c r="O38" s="29"/>
      <c r="P38" s="30">
        <f>2000</f>
        <v>2000</v>
      </c>
      <c r="Q38" s="30"/>
      <c r="R38" s="30"/>
      <c r="S38" s="32" t="s">
        <v>81</v>
      </c>
      <c r="T38" s="32"/>
      <c r="U38" s="32"/>
      <c r="V38" s="32"/>
      <c r="W38" s="31">
        <f>2000</f>
        <v>2000</v>
      </c>
      <c r="X38" s="31"/>
    </row>
    <row r="39" spans="1:24" s="1" customFormat="1" ht="13.5" customHeight="1">
      <c r="A39" s="28" t="s">
        <v>84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 t="s">
        <v>72</v>
      </c>
      <c r="M39" s="29"/>
      <c r="N39" s="29" t="s">
        <v>85</v>
      </c>
      <c r="O39" s="29"/>
      <c r="P39" s="30">
        <f>7000</f>
        <v>7000</v>
      </c>
      <c r="Q39" s="30"/>
      <c r="R39" s="30"/>
      <c r="S39" s="32" t="s">
        <v>81</v>
      </c>
      <c r="T39" s="32"/>
      <c r="U39" s="32"/>
      <c r="V39" s="32"/>
      <c r="W39" s="31">
        <f>7000</f>
        <v>7000</v>
      </c>
      <c r="X39" s="31"/>
    </row>
    <row r="40" spans="1:24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 t="s">
        <v>72</v>
      </c>
      <c r="M40" s="29"/>
      <c r="N40" s="29" t="s">
        <v>87</v>
      </c>
      <c r="O40" s="29"/>
      <c r="P40" s="30">
        <f>11000</f>
        <v>11000</v>
      </c>
      <c r="Q40" s="30"/>
      <c r="R40" s="30"/>
      <c r="S40" s="30">
        <f>3348.17</f>
        <v>3348.17</v>
      </c>
      <c r="T40" s="30"/>
      <c r="U40" s="30"/>
      <c r="V40" s="30"/>
      <c r="W40" s="31">
        <f>7651.83</f>
        <v>7651.83</v>
      </c>
      <c r="X40" s="31"/>
    </row>
    <row r="41" spans="1:24" s="1" customFormat="1" ht="13.5" customHeight="1">
      <c r="A41" s="28" t="s">
        <v>84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 t="s">
        <v>72</v>
      </c>
      <c r="M41" s="29"/>
      <c r="N41" s="29" t="s">
        <v>88</v>
      </c>
      <c r="O41" s="29"/>
      <c r="P41" s="30">
        <f>167800</f>
        <v>167800</v>
      </c>
      <c r="Q41" s="30"/>
      <c r="R41" s="30"/>
      <c r="S41" s="30">
        <f>24035</f>
        <v>24035</v>
      </c>
      <c r="T41" s="30"/>
      <c r="U41" s="30"/>
      <c r="V41" s="30"/>
      <c r="W41" s="31">
        <f>143765</f>
        <v>143765</v>
      </c>
      <c r="X41" s="31"/>
    </row>
    <row r="42" spans="1:24" s="1" customFormat="1" ht="13.5" customHeight="1">
      <c r="A42" s="28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 t="s">
        <v>72</v>
      </c>
      <c r="M42" s="29"/>
      <c r="N42" s="29" t="s">
        <v>90</v>
      </c>
      <c r="O42" s="29"/>
      <c r="P42" s="30">
        <f>240000</f>
        <v>240000</v>
      </c>
      <c r="Q42" s="30"/>
      <c r="R42" s="30"/>
      <c r="S42" s="30">
        <f>65000</f>
        <v>65000</v>
      </c>
      <c r="T42" s="30"/>
      <c r="U42" s="30"/>
      <c r="V42" s="30"/>
      <c r="W42" s="31">
        <f>175000</f>
        <v>175000</v>
      </c>
      <c r="X42" s="31"/>
    </row>
    <row r="43" spans="1:24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 t="s">
        <v>72</v>
      </c>
      <c r="M43" s="29"/>
      <c r="N43" s="29" t="s">
        <v>92</v>
      </c>
      <c r="O43" s="29"/>
      <c r="P43" s="30">
        <f>4400</f>
        <v>4400</v>
      </c>
      <c r="Q43" s="30"/>
      <c r="R43" s="30"/>
      <c r="S43" s="30">
        <f>4400</f>
        <v>4400</v>
      </c>
      <c r="T43" s="30"/>
      <c r="U43" s="30"/>
      <c r="V43" s="30"/>
      <c r="W43" s="31">
        <f>0</f>
        <v>0</v>
      </c>
      <c r="X43" s="31"/>
    </row>
    <row r="44" spans="1:24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 t="s">
        <v>72</v>
      </c>
      <c r="M44" s="29"/>
      <c r="N44" s="29" t="s">
        <v>94</v>
      </c>
      <c r="O44" s="29"/>
      <c r="P44" s="30">
        <f>70000</f>
        <v>70000</v>
      </c>
      <c r="Q44" s="30"/>
      <c r="R44" s="30"/>
      <c r="S44" s="32" t="s">
        <v>81</v>
      </c>
      <c r="T44" s="32"/>
      <c r="U44" s="32"/>
      <c r="V44" s="32"/>
      <c r="W44" s="31">
        <f>70000</f>
        <v>70000</v>
      </c>
      <c r="X44" s="31"/>
    </row>
    <row r="45" spans="1:24" s="1" customFormat="1" ht="13.5" customHeight="1">
      <c r="A45" s="28" t="s">
        <v>89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 t="s">
        <v>72</v>
      </c>
      <c r="M45" s="29"/>
      <c r="N45" s="29" t="s">
        <v>95</v>
      </c>
      <c r="O45" s="29"/>
      <c r="P45" s="30">
        <f>2000</f>
        <v>2000</v>
      </c>
      <c r="Q45" s="30"/>
      <c r="R45" s="30"/>
      <c r="S45" s="32" t="s">
        <v>81</v>
      </c>
      <c r="T45" s="32"/>
      <c r="U45" s="32"/>
      <c r="V45" s="32"/>
      <c r="W45" s="31">
        <f>2000</f>
        <v>2000</v>
      </c>
      <c r="X45" s="31"/>
    </row>
    <row r="46" spans="1:24" s="1" customFormat="1" ht="13.5" customHeight="1">
      <c r="A46" s="28" t="s">
        <v>89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 t="s">
        <v>72</v>
      </c>
      <c r="M46" s="29"/>
      <c r="N46" s="29" t="s">
        <v>96</v>
      </c>
      <c r="O46" s="29"/>
      <c r="P46" s="30">
        <f>25000</f>
        <v>25000</v>
      </c>
      <c r="Q46" s="30"/>
      <c r="R46" s="30"/>
      <c r="S46" s="30">
        <f>13376.18</f>
        <v>13376.18</v>
      </c>
      <c r="T46" s="30"/>
      <c r="U46" s="30"/>
      <c r="V46" s="30"/>
      <c r="W46" s="31">
        <f>11623.82</f>
        <v>11623.82</v>
      </c>
      <c r="X46" s="31"/>
    </row>
    <row r="47" spans="1:24" s="1" customFormat="1" ht="13.5" customHeight="1">
      <c r="A47" s="28" t="s">
        <v>89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 t="s">
        <v>72</v>
      </c>
      <c r="M47" s="29"/>
      <c r="N47" s="29" t="s">
        <v>97</v>
      </c>
      <c r="O47" s="29"/>
      <c r="P47" s="30">
        <f>328000</f>
        <v>328000</v>
      </c>
      <c r="Q47" s="30"/>
      <c r="R47" s="30"/>
      <c r="S47" s="32" t="s">
        <v>81</v>
      </c>
      <c r="T47" s="32"/>
      <c r="U47" s="32"/>
      <c r="V47" s="32"/>
      <c r="W47" s="31">
        <f>328000</f>
        <v>328000</v>
      </c>
      <c r="X47" s="31"/>
    </row>
    <row r="48" spans="1:24" s="1" customFormat="1" ht="13.5" customHeight="1">
      <c r="A48" s="28" t="s">
        <v>89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 t="s">
        <v>72</v>
      </c>
      <c r="M48" s="29"/>
      <c r="N48" s="29" t="s">
        <v>98</v>
      </c>
      <c r="O48" s="29"/>
      <c r="P48" s="30">
        <f>27730</f>
        <v>27730</v>
      </c>
      <c r="Q48" s="30"/>
      <c r="R48" s="30"/>
      <c r="S48" s="32" t="s">
        <v>81</v>
      </c>
      <c r="T48" s="32"/>
      <c r="U48" s="32"/>
      <c r="V48" s="32"/>
      <c r="W48" s="31">
        <f>27730</f>
        <v>27730</v>
      </c>
      <c r="X48" s="31"/>
    </row>
    <row r="49" spans="1:24" s="1" customFormat="1" ht="13.5" customHeight="1">
      <c r="A49" s="28" t="s">
        <v>91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 t="s">
        <v>72</v>
      </c>
      <c r="M49" s="29"/>
      <c r="N49" s="29" t="s">
        <v>99</v>
      </c>
      <c r="O49" s="29"/>
      <c r="P49" s="30">
        <f>29082</f>
        <v>29082</v>
      </c>
      <c r="Q49" s="30"/>
      <c r="R49" s="30"/>
      <c r="S49" s="32" t="s">
        <v>81</v>
      </c>
      <c r="T49" s="32"/>
      <c r="U49" s="32"/>
      <c r="V49" s="32"/>
      <c r="W49" s="31">
        <f>29082</f>
        <v>29082</v>
      </c>
      <c r="X49" s="31"/>
    </row>
    <row r="50" spans="1:24" s="1" customFormat="1" ht="13.5" customHeight="1">
      <c r="A50" s="28" t="s">
        <v>93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 t="s">
        <v>72</v>
      </c>
      <c r="M50" s="29"/>
      <c r="N50" s="29" t="s">
        <v>100</v>
      </c>
      <c r="O50" s="29"/>
      <c r="P50" s="30">
        <f>48188</f>
        <v>48188</v>
      </c>
      <c r="Q50" s="30"/>
      <c r="R50" s="30"/>
      <c r="S50" s="32" t="s">
        <v>81</v>
      </c>
      <c r="T50" s="32"/>
      <c r="U50" s="32"/>
      <c r="V50" s="32"/>
      <c r="W50" s="31">
        <f>48188</f>
        <v>48188</v>
      </c>
      <c r="X50" s="31"/>
    </row>
    <row r="51" spans="1:24" s="1" customFormat="1" ht="13.5" customHeight="1">
      <c r="A51" s="28" t="s">
        <v>89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 t="s">
        <v>72</v>
      </c>
      <c r="M51" s="29"/>
      <c r="N51" s="29" t="s">
        <v>101</v>
      </c>
      <c r="O51" s="29"/>
      <c r="P51" s="30">
        <f>2407.7</f>
        <v>2407.7</v>
      </c>
      <c r="Q51" s="30"/>
      <c r="R51" s="30"/>
      <c r="S51" s="30">
        <f>2407.7</f>
        <v>2407.7</v>
      </c>
      <c r="T51" s="30"/>
      <c r="U51" s="30"/>
      <c r="V51" s="30"/>
      <c r="W51" s="31">
        <f>0</f>
        <v>0</v>
      </c>
      <c r="X51" s="31"/>
    </row>
    <row r="52" spans="1:24" s="1" customFormat="1" ht="13.5" customHeight="1">
      <c r="A52" s="28" t="s">
        <v>79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 t="s">
        <v>72</v>
      </c>
      <c r="M52" s="29"/>
      <c r="N52" s="29" t="s">
        <v>102</v>
      </c>
      <c r="O52" s="29"/>
      <c r="P52" s="30">
        <f>970000</f>
        <v>970000</v>
      </c>
      <c r="Q52" s="30"/>
      <c r="R52" s="30"/>
      <c r="S52" s="30">
        <f>300000</f>
        <v>300000</v>
      </c>
      <c r="T52" s="30"/>
      <c r="U52" s="30"/>
      <c r="V52" s="30"/>
      <c r="W52" s="31">
        <f>670000</f>
        <v>670000</v>
      </c>
      <c r="X52" s="31"/>
    </row>
    <row r="53" spans="1:24" s="1" customFormat="1" ht="13.5" customHeight="1">
      <c r="A53" s="28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 t="s">
        <v>72</v>
      </c>
      <c r="M53" s="29"/>
      <c r="N53" s="29" t="s">
        <v>103</v>
      </c>
      <c r="O53" s="29"/>
      <c r="P53" s="30">
        <f>72000</f>
        <v>72000</v>
      </c>
      <c r="Q53" s="30"/>
      <c r="R53" s="30"/>
      <c r="S53" s="30">
        <f>54000</f>
        <v>54000</v>
      </c>
      <c r="T53" s="30"/>
      <c r="U53" s="30"/>
      <c r="V53" s="30"/>
      <c r="W53" s="31">
        <f>18000</f>
        <v>18000</v>
      </c>
      <c r="X53" s="31"/>
    </row>
    <row r="54" spans="1:24" s="1" customFormat="1" ht="13.5" customHeight="1">
      <c r="A54" s="28" t="s">
        <v>104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 t="s">
        <v>72</v>
      </c>
      <c r="M54" s="29"/>
      <c r="N54" s="29" t="s">
        <v>105</v>
      </c>
      <c r="O54" s="29"/>
      <c r="P54" s="30">
        <f>269616.7</f>
        <v>269616.7</v>
      </c>
      <c r="Q54" s="30"/>
      <c r="R54" s="30"/>
      <c r="S54" s="30">
        <f>144779.6</f>
        <v>144779.6</v>
      </c>
      <c r="T54" s="30"/>
      <c r="U54" s="30"/>
      <c r="V54" s="30"/>
      <c r="W54" s="31">
        <f>124837.1</f>
        <v>124837.1</v>
      </c>
      <c r="X54" s="31"/>
    </row>
    <row r="55" spans="1:24" s="1" customFormat="1" ht="13.5" customHeight="1">
      <c r="A55" s="28" t="s">
        <v>106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 t="s">
        <v>72</v>
      </c>
      <c r="M55" s="29"/>
      <c r="N55" s="29" t="s">
        <v>107</v>
      </c>
      <c r="O55" s="29"/>
      <c r="P55" s="30">
        <f>259462.14</f>
        <v>259462.14</v>
      </c>
      <c r="Q55" s="30"/>
      <c r="R55" s="30"/>
      <c r="S55" s="30">
        <f>89709.8</f>
        <v>89709.8</v>
      </c>
      <c r="T55" s="30"/>
      <c r="U55" s="30"/>
      <c r="V55" s="30"/>
      <c r="W55" s="31">
        <f>169752.34</f>
        <v>169752.34</v>
      </c>
      <c r="X55" s="31"/>
    </row>
    <row r="56" spans="1:24" s="1" customFormat="1" ht="13.5" customHeight="1">
      <c r="A56" s="28" t="s">
        <v>84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 t="s">
        <v>72</v>
      </c>
      <c r="M56" s="29"/>
      <c r="N56" s="29" t="s">
        <v>108</v>
      </c>
      <c r="O56" s="29"/>
      <c r="P56" s="30">
        <f>41312.71</f>
        <v>41312.71</v>
      </c>
      <c r="Q56" s="30"/>
      <c r="R56" s="30"/>
      <c r="S56" s="30">
        <f>4992.65</f>
        <v>4992.65</v>
      </c>
      <c r="T56" s="30"/>
      <c r="U56" s="30"/>
      <c r="V56" s="30"/>
      <c r="W56" s="31">
        <f>36320.06</f>
        <v>36320.06</v>
      </c>
      <c r="X56" s="31"/>
    </row>
    <row r="57" spans="1:24" s="1" customFormat="1" ht="13.5" customHeight="1">
      <c r="A57" s="28" t="s">
        <v>93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9" t="s">
        <v>72</v>
      </c>
      <c r="M57" s="29"/>
      <c r="N57" s="29" t="s">
        <v>109</v>
      </c>
      <c r="O57" s="29"/>
      <c r="P57" s="30">
        <f>852114.47</f>
        <v>852114.47</v>
      </c>
      <c r="Q57" s="30"/>
      <c r="R57" s="30"/>
      <c r="S57" s="30">
        <f>238912.19</f>
        <v>238912.19</v>
      </c>
      <c r="T57" s="30"/>
      <c r="U57" s="30"/>
      <c r="V57" s="30"/>
      <c r="W57" s="31">
        <f>613202.28</f>
        <v>613202.28</v>
      </c>
      <c r="X57" s="31"/>
    </row>
    <row r="58" spans="1:24" s="1" customFormat="1" ht="13.5" customHeight="1">
      <c r="A58" s="28" t="s">
        <v>89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 t="s">
        <v>72</v>
      </c>
      <c r="M58" s="29"/>
      <c r="N58" s="29" t="s">
        <v>110</v>
      </c>
      <c r="O58" s="29"/>
      <c r="P58" s="30">
        <f>105040</f>
        <v>105040</v>
      </c>
      <c r="Q58" s="30"/>
      <c r="R58" s="30"/>
      <c r="S58" s="30">
        <f>22722</f>
        <v>22722</v>
      </c>
      <c r="T58" s="30"/>
      <c r="U58" s="30"/>
      <c r="V58" s="30"/>
      <c r="W58" s="31">
        <f>82318</f>
        <v>82318</v>
      </c>
      <c r="X58" s="31"/>
    </row>
    <row r="59" spans="1:24" s="1" customFormat="1" ht="13.5" customHeight="1">
      <c r="A59" s="28" t="s">
        <v>89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 t="s">
        <v>72</v>
      </c>
      <c r="M59" s="29"/>
      <c r="N59" s="29" t="s">
        <v>111</v>
      </c>
      <c r="O59" s="29"/>
      <c r="P59" s="30">
        <f>38878</f>
        <v>38878</v>
      </c>
      <c r="Q59" s="30"/>
      <c r="R59" s="30"/>
      <c r="S59" s="30">
        <f>5969.5</f>
        <v>5969.5</v>
      </c>
      <c r="T59" s="30"/>
      <c r="U59" s="30"/>
      <c r="V59" s="30"/>
      <c r="W59" s="31">
        <f>32908.5</f>
        <v>32908.5</v>
      </c>
      <c r="X59" s="31"/>
    </row>
    <row r="60" spans="1:24" s="1" customFormat="1" ht="13.5" customHeight="1">
      <c r="A60" s="28" t="s">
        <v>82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 t="s">
        <v>72</v>
      </c>
      <c r="M60" s="29"/>
      <c r="N60" s="29" t="s">
        <v>112</v>
      </c>
      <c r="O60" s="29"/>
      <c r="P60" s="30">
        <f>54000</f>
        <v>54000</v>
      </c>
      <c r="Q60" s="30"/>
      <c r="R60" s="30"/>
      <c r="S60" s="30">
        <f>36000</f>
        <v>36000</v>
      </c>
      <c r="T60" s="30"/>
      <c r="U60" s="30"/>
      <c r="V60" s="30"/>
      <c r="W60" s="31">
        <f>18000</f>
        <v>18000</v>
      </c>
      <c r="X60" s="31"/>
    </row>
    <row r="61" spans="1:24" s="1" customFormat="1" ht="13.5" customHeight="1">
      <c r="A61" s="28" t="s">
        <v>73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 t="s">
        <v>72</v>
      </c>
      <c r="M61" s="29"/>
      <c r="N61" s="29" t="s">
        <v>113</v>
      </c>
      <c r="O61" s="29"/>
      <c r="P61" s="30">
        <f>298310.29</f>
        <v>298310.29</v>
      </c>
      <c r="Q61" s="30"/>
      <c r="R61" s="30"/>
      <c r="S61" s="30">
        <f>101933.12</f>
        <v>101933.12</v>
      </c>
      <c r="T61" s="30"/>
      <c r="U61" s="30"/>
      <c r="V61" s="30"/>
      <c r="W61" s="31">
        <f>196377.17</f>
        <v>196377.17</v>
      </c>
      <c r="X61" s="31"/>
    </row>
    <row r="62" spans="1:24" s="1" customFormat="1" ht="13.5" customHeight="1">
      <c r="A62" s="28" t="s">
        <v>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 t="s">
        <v>72</v>
      </c>
      <c r="M62" s="29"/>
      <c r="N62" s="29" t="s">
        <v>114</v>
      </c>
      <c r="O62" s="29"/>
      <c r="P62" s="30">
        <f>62485.71</f>
        <v>62485.71</v>
      </c>
      <c r="Q62" s="30"/>
      <c r="R62" s="30"/>
      <c r="S62" s="30">
        <f>30783.81</f>
        <v>30783.81</v>
      </c>
      <c r="T62" s="30"/>
      <c r="U62" s="30"/>
      <c r="V62" s="30"/>
      <c r="W62" s="31">
        <f>31701.9</f>
        <v>31701.9</v>
      </c>
      <c r="X62" s="31"/>
    </row>
    <row r="63" spans="1:24" s="1" customFormat="1" ht="13.5" customHeight="1">
      <c r="A63" s="28" t="s">
        <v>73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 t="s">
        <v>72</v>
      </c>
      <c r="M63" s="29"/>
      <c r="N63" s="29" t="s">
        <v>115</v>
      </c>
      <c r="O63" s="29"/>
      <c r="P63" s="30">
        <f>20875.56</f>
        <v>20875.56</v>
      </c>
      <c r="Q63" s="30"/>
      <c r="R63" s="30"/>
      <c r="S63" s="30">
        <f>10437.78</f>
        <v>10437.78</v>
      </c>
      <c r="T63" s="30"/>
      <c r="U63" s="30"/>
      <c r="V63" s="30"/>
      <c r="W63" s="31">
        <f>10437.78</f>
        <v>10437.78</v>
      </c>
      <c r="X63" s="31"/>
    </row>
    <row r="64" spans="1:24" s="1" customFormat="1" ht="13.5" customHeight="1">
      <c r="A64" s="28" t="s">
        <v>75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 t="s">
        <v>72</v>
      </c>
      <c r="M64" s="29"/>
      <c r="N64" s="29" t="s">
        <v>116</v>
      </c>
      <c r="O64" s="29"/>
      <c r="P64" s="30">
        <f>6304.44</f>
        <v>6304.44</v>
      </c>
      <c r="Q64" s="30"/>
      <c r="R64" s="30"/>
      <c r="S64" s="30">
        <f>2829.25</f>
        <v>2829.25</v>
      </c>
      <c r="T64" s="30"/>
      <c r="U64" s="30"/>
      <c r="V64" s="30"/>
      <c r="W64" s="31">
        <f>3475.19</f>
        <v>3475.19</v>
      </c>
      <c r="X64" s="31"/>
    </row>
    <row r="65" spans="1:24" s="1" customFormat="1" ht="13.5" customHeight="1">
      <c r="A65" s="28" t="s">
        <v>93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 t="s">
        <v>72</v>
      </c>
      <c r="M65" s="29"/>
      <c r="N65" s="29" t="s">
        <v>117</v>
      </c>
      <c r="O65" s="29"/>
      <c r="P65" s="30">
        <f>7000</f>
        <v>7000</v>
      </c>
      <c r="Q65" s="30"/>
      <c r="R65" s="30"/>
      <c r="S65" s="30">
        <f>7000</f>
        <v>7000</v>
      </c>
      <c r="T65" s="30"/>
      <c r="U65" s="30"/>
      <c r="V65" s="30"/>
      <c r="W65" s="31">
        <f>0</f>
        <v>0</v>
      </c>
      <c r="X65" s="31"/>
    </row>
    <row r="66" spans="1:24" s="1" customFormat="1" ht="13.5" customHeight="1">
      <c r="A66" s="28" t="s">
        <v>106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 t="s">
        <v>72</v>
      </c>
      <c r="M66" s="29"/>
      <c r="N66" s="29" t="s">
        <v>118</v>
      </c>
      <c r="O66" s="29"/>
      <c r="P66" s="30">
        <f>12000</f>
        <v>12000</v>
      </c>
      <c r="Q66" s="30"/>
      <c r="R66" s="30"/>
      <c r="S66" s="32" t="s">
        <v>81</v>
      </c>
      <c r="T66" s="32"/>
      <c r="U66" s="32"/>
      <c r="V66" s="32"/>
      <c r="W66" s="31">
        <f>12000</f>
        <v>12000</v>
      </c>
      <c r="X66" s="31"/>
    </row>
    <row r="67" spans="1:24" s="1" customFormat="1" ht="13.5" customHeight="1">
      <c r="A67" s="28" t="s">
        <v>84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 t="s">
        <v>72</v>
      </c>
      <c r="M67" s="29"/>
      <c r="N67" s="29" t="s">
        <v>119</v>
      </c>
      <c r="O67" s="29"/>
      <c r="P67" s="30">
        <f>149500</f>
        <v>149500</v>
      </c>
      <c r="Q67" s="30"/>
      <c r="R67" s="30"/>
      <c r="S67" s="32" t="s">
        <v>81</v>
      </c>
      <c r="T67" s="32"/>
      <c r="U67" s="32"/>
      <c r="V67" s="32"/>
      <c r="W67" s="31">
        <f>149500</f>
        <v>149500</v>
      </c>
      <c r="X67" s="31"/>
    </row>
    <row r="68" spans="1:24" s="1" customFormat="1" ht="13.5" customHeight="1">
      <c r="A68" s="28" t="s">
        <v>93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 t="s">
        <v>72</v>
      </c>
      <c r="M68" s="29"/>
      <c r="N68" s="29" t="s">
        <v>120</v>
      </c>
      <c r="O68" s="29"/>
      <c r="P68" s="30">
        <f>30000</f>
        <v>30000</v>
      </c>
      <c r="Q68" s="30"/>
      <c r="R68" s="30"/>
      <c r="S68" s="32" t="s">
        <v>81</v>
      </c>
      <c r="T68" s="32"/>
      <c r="U68" s="32"/>
      <c r="V68" s="32"/>
      <c r="W68" s="31">
        <f>30000</f>
        <v>30000</v>
      </c>
      <c r="X68" s="31"/>
    </row>
    <row r="69" spans="1:24" s="1" customFormat="1" ht="13.5" customHeight="1">
      <c r="A69" s="28" t="s">
        <v>84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 t="s">
        <v>72</v>
      </c>
      <c r="M69" s="29"/>
      <c r="N69" s="29" t="s">
        <v>121</v>
      </c>
      <c r="O69" s="29"/>
      <c r="P69" s="30">
        <f>5823</f>
        <v>5823</v>
      </c>
      <c r="Q69" s="30"/>
      <c r="R69" s="30"/>
      <c r="S69" s="30">
        <f>5823</f>
        <v>5823</v>
      </c>
      <c r="T69" s="30"/>
      <c r="U69" s="30"/>
      <c r="V69" s="30"/>
      <c r="W69" s="31">
        <f>0</f>
        <v>0</v>
      </c>
      <c r="X69" s="31"/>
    </row>
    <row r="70" spans="1:24" s="1" customFormat="1" ht="13.5" customHeight="1">
      <c r="A70" s="28" t="s">
        <v>84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 t="s">
        <v>72</v>
      </c>
      <c r="M70" s="29"/>
      <c r="N70" s="29" t="s">
        <v>122</v>
      </c>
      <c r="O70" s="29"/>
      <c r="P70" s="30">
        <f>13590</f>
        <v>13590</v>
      </c>
      <c r="Q70" s="30"/>
      <c r="R70" s="30"/>
      <c r="S70" s="30">
        <f>13590</f>
        <v>13590</v>
      </c>
      <c r="T70" s="30"/>
      <c r="U70" s="30"/>
      <c r="V70" s="30"/>
      <c r="W70" s="31">
        <f>0</f>
        <v>0</v>
      </c>
      <c r="X70" s="31"/>
    </row>
    <row r="71" spans="1:24" s="1" customFormat="1" ht="13.5" customHeight="1">
      <c r="A71" s="28" t="s">
        <v>106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9" t="s">
        <v>72</v>
      </c>
      <c r="M71" s="29"/>
      <c r="N71" s="29" t="s">
        <v>123</v>
      </c>
      <c r="O71" s="29"/>
      <c r="P71" s="30">
        <f>2275056.49</f>
        <v>2275056.49</v>
      </c>
      <c r="Q71" s="30"/>
      <c r="R71" s="30"/>
      <c r="S71" s="30">
        <f>1127082.83</f>
        <v>1127082.83</v>
      </c>
      <c r="T71" s="30"/>
      <c r="U71" s="30"/>
      <c r="V71" s="30"/>
      <c r="W71" s="31">
        <f>1147973.66</f>
        <v>1147973.66</v>
      </c>
      <c r="X71" s="31"/>
    </row>
    <row r="72" spans="1:24" s="1" customFormat="1" ht="13.5" customHeight="1">
      <c r="A72" s="28" t="s">
        <v>84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 t="s">
        <v>72</v>
      </c>
      <c r="M72" s="29"/>
      <c r="N72" s="29" t="s">
        <v>124</v>
      </c>
      <c r="O72" s="29"/>
      <c r="P72" s="30">
        <f>8000</f>
        <v>8000</v>
      </c>
      <c r="Q72" s="30"/>
      <c r="R72" s="30"/>
      <c r="S72" s="32" t="s">
        <v>81</v>
      </c>
      <c r="T72" s="32"/>
      <c r="U72" s="32"/>
      <c r="V72" s="32"/>
      <c r="W72" s="31">
        <f>8000</f>
        <v>8000</v>
      </c>
      <c r="X72" s="31"/>
    </row>
    <row r="73" spans="1:24" s="1" customFormat="1" ht="13.5" customHeight="1">
      <c r="A73" s="28" t="s">
        <v>91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 t="s">
        <v>72</v>
      </c>
      <c r="M73" s="29"/>
      <c r="N73" s="29" t="s">
        <v>125</v>
      </c>
      <c r="O73" s="29"/>
      <c r="P73" s="30">
        <f>10000</f>
        <v>10000</v>
      </c>
      <c r="Q73" s="30"/>
      <c r="R73" s="30"/>
      <c r="S73" s="32" t="s">
        <v>81</v>
      </c>
      <c r="T73" s="32"/>
      <c r="U73" s="32"/>
      <c r="V73" s="32"/>
      <c r="W73" s="31">
        <f>10000</f>
        <v>10000</v>
      </c>
      <c r="X73" s="31"/>
    </row>
    <row r="74" spans="1:24" s="1" customFormat="1" ht="13.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 t="s">
        <v>72</v>
      </c>
      <c r="M74" s="29"/>
      <c r="N74" s="29" t="s">
        <v>126</v>
      </c>
      <c r="O74" s="29"/>
      <c r="P74" s="30">
        <f>20000</f>
        <v>20000</v>
      </c>
      <c r="Q74" s="30"/>
      <c r="R74" s="30"/>
      <c r="S74" s="32" t="s">
        <v>81</v>
      </c>
      <c r="T74" s="32"/>
      <c r="U74" s="32"/>
      <c r="V74" s="32"/>
      <c r="W74" s="31">
        <f>20000</f>
        <v>20000</v>
      </c>
      <c r="X74" s="31"/>
    </row>
    <row r="75" spans="1:24" s="1" customFormat="1" ht="13.5" customHeight="1">
      <c r="A75" s="28" t="s">
        <v>86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9" t="s">
        <v>72</v>
      </c>
      <c r="M75" s="29"/>
      <c r="N75" s="29" t="s">
        <v>127</v>
      </c>
      <c r="O75" s="29"/>
      <c r="P75" s="30">
        <f>331980</f>
        <v>331980</v>
      </c>
      <c r="Q75" s="30"/>
      <c r="R75" s="30"/>
      <c r="S75" s="30">
        <f>121880.92</f>
        <v>121880.92</v>
      </c>
      <c r="T75" s="30"/>
      <c r="U75" s="30"/>
      <c r="V75" s="30"/>
      <c r="W75" s="31">
        <f>210099.08</f>
        <v>210099.08</v>
      </c>
      <c r="X75" s="31"/>
    </row>
    <row r="76" spans="1:24" s="1" customFormat="1" ht="13.5" customHeight="1">
      <c r="A76" s="28" t="s">
        <v>106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9" t="s">
        <v>72</v>
      </c>
      <c r="M76" s="29"/>
      <c r="N76" s="29" t="s">
        <v>128</v>
      </c>
      <c r="O76" s="29"/>
      <c r="P76" s="30">
        <f>20000</f>
        <v>20000</v>
      </c>
      <c r="Q76" s="30"/>
      <c r="R76" s="30"/>
      <c r="S76" s="30">
        <f>12600</f>
        <v>12600</v>
      </c>
      <c r="T76" s="30"/>
      <c r="U76" s="30"/>
      <c r="V76" s="30"/>
      <c r="W76" s="31">
        <f>7400</f>
        <v>7400</v>
      </c>
      <c r="X76" s="31"/>
    </row>
    <row r="77" spans="1:24" s="1" customFormat="1" ht="13.5" customHeight="1">
      <c r="A77" s="28" t="s">
        <v>84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 t="s">
        <v>72</v>
      </c>
      <c r="M77" s="29"/>
      <c r="N77" s="29" t="s">
        <v>129</v>
      </c>
      <c r="O77" s="29"/>
      <c r="P77" s="30">
        <f>461917.5</f>
        <v>461917.5</v>
      </c>
      <c r="Q77" s="30"/>
      <c r="R77" s="30"/>
      <c r="S77" s="30">
        <f>251399.65</f>
        <v>251399.65</v>
      </c>
      <c r="T77" s="30"/>
      <c r="U77" s="30"/>
      <c r="V77" s="30"/>
      <c r="W77" s="31">
        <f>210517.85</f>
        <v>210517.85</v>
      </c>
      <c r="X77" s="31"/>
    </row>
    <row r="78" spans="1:24" s="1" customFormat="1" ht="13.5" customHeight="1">
      <c r="A78" s="28" t="s">
        <v>91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9" t="s">
        <v>72</v>
      </c>
      <c r="M78" s="29"/>
      <c r="N78" s="29" t="s">
        <v>130</v>
      </c>
      <c r="O78" s="29"/>
      <c r="P78" s="30">
        <f>7000</f>
        <v>7000</v>
      </c>
      <c r="Q78" s="30"/>
      <c r="R78" s="30"/>
      <c r="S78" s="30">
        <f>7000</f>
        <v>7000</v>
      </c>
      <c r="T78" s="30"/>
      <c r="U78" s="30"/>
      <c r="V78" s="30"/>
      <c r="W78" s="31">
        <f>0</f>
        <v>0</v>
      </c>
      <c r="X78" s="31"/>
    </row>
    <row r="79" spans="1:24" s="1" customFormat="1" ht="13.5" customHeight="1">
      <c r="A79" s="28" t="s">
        <v>93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 t="s">
        <v>72</v>
      </c>
      <c r="M79" s="29"/>
      <c r="N79" s="29" t="s">
        <v>131</v>
      </c>
      <c r="O79" s="29"/>
      <c r="P79" s="30">
        <f>36560</f>
        <v>36560</v>
      </c>
      <c r="Q79" s="30"/>
      <c r="R79" s="30"/>
      <c r="S79" s="30">
        <f>20479</f>
        <v>20479</v>
      </c>
      <c r="T79" s="30"/>
      <c r="U79" s="30"/>
      <c r="V79" s="30"/>
      <c r="W79" s="31">
        <f>16081</f>
        <v>16081</v>
      </c>
      <c r="X79" s="31"/>
    </row>
    <row r="80" spans="1:24" s="1" customFormat="1" ht="13.5" customHeight="1">
      <c r="A80" s="28" t="s">
        <v>104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9" t="s">
        <v>72</v>
      </c>
      <c r="M80" s="29"/>
      <c r="N80" s="29" t="s">
        <v>132</v>
      </c>
      <c r="O80" s="29"/>
      <c r="P80" s="30">
        <f>379047.01</f>
        <v>379047.01</v>
      </c>
      <c r="Q80" s="30"/>
      <c r="R80" s="30"/>
      <c r="S80" s="30">
        <f>159131.72</f>
        <v>159131.72</v>
      </c>
      <c r="T80" s="30"/>
      <c r="U80" s="30"/>
      <c r="V80" s="30"/>
      <c r="W80" s="31">
        <f>219915.29</f>
        <v>219915.29</v>
      </c>
      <c r="X80" s="31"/>
    </row>
    <row r="81" spans="1:24" s="1" customFormat="1" ht="13.5" customHeight="1">
      <c r="A81" s="28" t="s">
        <v>106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 t="s">
        <v>72</v>
      </c>
      <c r="M81" s="29"/>
      <c r="N81" s="29" t="s">
        <v>133</v>
      </c>
      <c r="O81" s="29"/>
      <c r="P81" s="30">
        <f>1209372.2</f>
        <v>1209372.2</v>
      </c>
      <c r="Q81" s="30"/>
      <c r="R81" s="30"/>
      <c r="S81" s="30">
        <f>417584.15</f>
        <v>417584.15</v>
      </c>
      <c r="T81" s="30"/>
      <c r="U81" s="30"/>
      <c r="V81" s="30"/>
      <c r="W81" s="31">
        <f>791788.05</f>
        <v>791788.05</v>
      </c>
      <c r="X81" s="31"/>
    </row>
    <row r="82" spans="1:24" s="1" customFormat="1" ht="13.5" customHeight="1">
      <c r="A82" s="28" t="s">
        <v>84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 t="s">
        <v>72</v>
      </c>
      <c r="M82" s="29"/>
      <c r="N82" s="29" t="s">
        <v>134</v>
      </c>
      <c r="O82" s="29"/>
      <c r="P82" s="30">
        <f>3000</f>
        <v>3000</v>
      </c>
      <c r="Q82" s="30"/>
      <c r="R82" s="30"/>
      <c r="S82" s="32" t="s">
        <v>81</v>
      </c>
      <c r="T82" s="32"/>
      <c r="U82" s="32"/>
      <c r="V82" s="32"/>
      <c r="W82" s="31">
        <f>3000</f>
        <v>3000</v>
      </c>
      <c r="X82" s="31"/>
    </row>
    <row r="83" spans="1:24" s="1" customFormat="1" ht="13.5" customHeight="1">
      <c r="A83" s="28" t="s">
        <v>106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 t="s">
        <v>72</v>
      </c>
      <c r="M83" s="29"/>
      <c r="N83" s="29" t="s">
        <v>135</v>
      </c>
      <c r="O83" s="29"/>
      <c r="P83" s="30">
        <f>76200</f>
        <v>76200</v>
      </c>
      <c r="Q83" s="30"/>
      <c r="R83" s="30"/>
      <c r="S83" s="30">
        <f>37394.12</f>
        <v>37394.12</v>
      </c>
      <c r="T83" s="30"/>
      <c r="U83" s="30"/>
      <c r="V83" s="30"/>
      <c r="W83" s="31">
        <f>38805.88</f>
        <v>38805.88</v>
      </c>
      <c r="X83" s="31"/>
    </row>
    <row r="84" spans="1:24" s="1" customFormat="1" ht="13.5" customHeight="1">
      <c r="A84" s="28" t="s">
        <v>91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 t="s">
        <v>72</v>
      </c>
      <c r="M84" s="29"/>
      <c r="N84" s="29" t="s">
        <v>136</v>
      </c>
      <c r="O84" s="29"/>
      <c r="P84" s="30">
        <f>330000</f>
        <v>330000</v>
      </c>
      <c r="Q84" s="30"/>
      <c r="R84" s="30"/>
      <c r="S84" s="30">
        <f>198000</f>
        <v>198000</v>
      </c>
      <c r="T84" s="30"/>
      <c r="U84" s="30"/>
      <c r="V84" s="30"/>
      <c r="W84" s="31">
        <f>132000</f>
        <v>132000</v>
      </c>
      <c r="X84" s="31"/>
    </row>
    <row r="85" spans="1:24" s="1" customFormat="1" ht="13.5" customHeight="1">
      <c r="A85" s="28" t="s">
        <v>93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 t="s">
        <v>72</v>
      </c>
      <c r="M85" s="29"/>
      <c r="N85" s="29" t="s">
        <v>137</v>
      </c>
      <c r="O85" s="29"/>
      <c r="P85" s="30">
        <f>100000</f>
        <v>100000</v>
      </c>
      <c r="Q85" s="30"/>
      <c r="R85" s="30"/>
      <c r="S85" s="30">
        <f>99500</f>
        <v>99500</v>
      </c>
      <c r="T85" s="30"/>
      <c r="U85" s="30"/>
      <c r="V85" s="30"/>
      <c r="W85" s="31">
        <f>500</f>
        <v>500</v>
      </c>
      <c r="X85" s="31"/>
    </row>
    <row r="86" spans="1:24" s="1" customFormat="1" ht="13.5" customHeight="1">
      <c r="A86" s="28" t="s">
        <v>82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 t="s">
        <v>72</v>
      </c>
      <c r="M86" s="29"/>
      <c r="N86" s="29" t="s">
        <v>138</v>
      </c>
      <c r="O86" s="29"/>
      <c r="P86" s="30">
        <f>60000</f>
        <v>60000</v>
      </c>
      <c r="Q86" s="30"/>
      <c r="R86" s="30"/>
      <c r="S86" s="30">
        <f>36000</f>
        <v>36000</v>
      </c>
      <c r="T86" s="30"/>
      <c r="U86" s="30"/>
      <c r="V86" s="30"/>
      <c r="W86" s="31">
        <f>24000</f>
        <v>24000</v>
      </c>
      <c r="X86" s="31"/>
    </row>
    <row r="87" spans="1:24" s="1" customFormat="1" ht="13.5" customHeight="1">
      <c r="A87" s="28" t="s">
        <v>89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9" t="s">
        <v>72</v>
      </c>
      <c r="M87" s="29"/>
      <c r="N87" s="29" t="s">
        <v>139</v>
      </c>
      <c r="O87" s="29"/>
      <c r="P87" s="30">
        <f>51000</f>
        <v>51000</v>
      </c>
      <c r="Q87" s="30"/>
      <c r="R87" s="30"/>
      <c r="S87" s="30">
        <f>37000</f>
        <v>37000</v>
      </c>
      <c r="T87" s="30"/>
      <c r="U87" s="30"/>
      <c r="V87" s="30"/>
      <c r="W87" s="31">
        <f>14000</f>
        <v>14000</v>
      </c>
      <c r="X87" s="31"/>
    </row>
    <row r="88" spans="1:24" s="1" customFormat="1" ht="13.5" customHeight="1">
      <c r="A88" s="28" t="s">
        <v>93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9" t="s">
        <v>72</v>
      </c>
      <c r="M88" s="29"/>
      <c r="N88" s="29" t="s">
        <v>140</v>
      </c>
      <c r="O88" s="29"/>
      <c r="P88" s="30">
        <f>64000</f>
        <v>64000</v>
      </c>
      <c r="Q88" s="30"/>
      <c r="R88" s="30"/>
      <c r="S88" s="30">
        <f>37000</f>
        <v>37000</v>
      </c>
      <c r="T88" s="30"/>
      <c r="U88" s="30"/>
      <c r="V88" s="30"/>
      <c r="W88" s="31">
        <f>27000</f>
        <v>27000</v>
      </c>
      <c r="X88" s="31"/>
    </row>
    <row r="89" spans="1:24" s="1" customFormat="1" ht="13.5" customHeight="1">
      <c r="A89" s="28" t="s">
        <v>141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9" t="s">
        <v>72</v>
      </c>
      <c r="M89" s="29"/>
      <c r="N89" s="29" t="s">
        <v>142</v>
      </c>
      <c r="O89" s="29"/>
      <c r="P89" s="30">
        <f>9805408.03</f>
        <v>9805408.03</v>
      </c>
      <c r="Q89" s="30"/>
      <c r="R89" s="30"/>
      <c r="S89" s="30">
        <f>4375428.56</f>
        <v>4375428.56</v>
      </c>
      <c r="T89" s="30"/>
      <c r="U89" s="30"/>
      <c r="V89" s="30"/>
      <c r="W89" s="31">
        <f>5429979.47</f>
        <v>5429979.47</v>
      </c>
      <c r="X89" s="31"/>
    </row>
    <row r="90" spans="1:24" s="1" customFormat="1" ht="13.5" customHeight="1">
      <c r="A90" s="28" t="s">
        <v>141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9" t="s">
        <v>72</v>
      </c>
      <c r="M90" s="29"/>
      <c r="N90" s="29" t="s">
        <v>143</v>
      </c>
      <c r="O90" s="29"/>
      <c r="P90" s="30">
        <f>250000</f>
        <v>250000</v>
      </c>
      <c r="Q90" s="30"/>
      <c r="R90" s="30"/>
      <c r="S90" s="32" t="s">
        <v>81</v>
      </c>
      <c r="T90" s="32"/>
      <c r="U90" s="32"/>
      <c r="V90" s="32"/>
      <c r="W90" s="31">
        <f>250000</f>
        <v>250000</v>
      </c>
      <c r="X90" s="31"/>
    </row>
    <row r="91" spans="1:24" s="1" customFormat="1" ht="13.5" customHeight="1">
      <c r="A91" s="28" t="s">
        <v>141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9" t="s">
        <v>72</v>
      </c>
      <c r="M91" s="29"/>
      <c r="N91" s="29" t="s">
        <v>144</v>
      </c>
      <c r="O91" s="29"/>
      <c r="P91" s="30">
        <f>1546401</f>
        <v>1546401</v>
      </c>
      <c r="Q91" s="30"/>
      <c r="R91" s="30"/>
      <c r="S91" s="30">
        <f>644335</f>
        <v>644335</v>
      </c>
      <c r="T91" s="30"/>
      <c r="U91" s="30"/>
      <c r="V91" s="30"/>
      <c r="W91" s="31">
        <f>902066</f>
        <v>902066</v>
      </c>
      <c r="X91" s="31"/>
    </row>
    <row r="92" spans="1:24" s="1" customFormat="1" ht="24" customHeight="1">
      <c r="A92" s="28" t="s">
        <v>145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9" t="s">
        <v>72</v>
      </c>
      <c r="M92" s="29"/>
      <c r="N92" s="29" t="s">
        <v>146</v>
      </c>
      <c r="O92" s="29"/>
      <c r="P92" s="30">
        <f>300000</f>
        <v>300000</v>
      </c>
      <c r="Q92" s="30"/>
      <c r="R92" s="30"/>
      <c r="S92" s="30">
        <f>150000</f>
        <v>150000</v>
      </c>
      <c r="T92" s="30"/>
      <c r="U92" s="30"/>
      <c r="V92" s="30"/>
      <c r="W92" s="31">
        <f>150000</f>
        <v>150000</v>
      </c>
      <c r="X92" s="31"/>
    </row>
    <row r="93" spans="1:24" s="1" customFormat="1" ht="13.5" customHeight="1">
      <c r="A93" s="28" t="s">
        <v>147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9" t="s">
        <v>72</v>
      </c>
      <c r="M93" s="29"/>
      <c r="N93" s="29" t="s">
        <v>148</v>
      </c>
      <c r="O93" s="29"/>
      <c r="P93" s="30">
        <f>40000</f>
        <v>40000</v>
      </c>
      <c r="Q93" s="30"/>
      <c r="R93" s="30"/>
      <c r="S93" s="32" t="s">
        <v>81</v>
      </c>
      <c r="T93" s="32"/>
      <c r="U93" s="32"/>
      <c r="V93" s="32"/>
      <c r="W93" s="31">
        <f>40000</f>
        <v>40000</v>
      </c>
      <c r="X93" s="31"/>
    </row>
    <row r="94" spans="1:24" s="1" customFormat="1" ht="13.5" customHeight="1">
      <c r="A94" s="28" t="s">
        <v>73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9" t="s">
        <v>72</v>
      </c>
      <c r="M94" s="29"/>
      <c r="N94" s="29" t="s">
        <v>149</v>
      </c>
      <c r="O94" s="29"/>
      <c r="P94" s="30">
        <f>2920800.9</f>
        <v>2920800.9</v>
      </c>
      <c r="Q94" s="30"/>
      <c r="R94" s="30"/>
      <c r="S94" s="30">
        <f>1293447.07</f>
        <v>1293447.07</v>
      </c>
      <c r="T94" s="30"/>
      <c r="U94" s="30"/>
      <c r="V94" s="30"/>
      <c r="W94" s="31">
        <f>1627353.83</f>
        <v>1627353.83</v>
      </c>
      <c r="X94" s="31"/>
    </row>
    <row r="95" spans="1:24" s="1" customFormat="1" ht="13.5" customHeight="1">
      <c r="A95" s="28" t="s">
        <v>75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9" t="s">
        <v>72</v>
      </c>
      <c r="M95" s="29"/>
      <c r="N95" s="29" t="s">
        <v>150</v>
      </c>
      <c r="O95" s="29"/>
      <c r="P95" s="30">
        <f>881175.88</f>
        <v>881175.88</v>
      </c>
      <c r="Q95" s="30"/>
      <c r="R95" s="30"/>
      <c r="S95" s="30">
        <f>411599.27</f>
        <v>411599.27</v>
      </c>
      <c r="T95" s="30"/>
      <c r="U95" s="30"/>
      <c r="V95" s="30"/>
      <c r="W95" s="31">
        <f>469576.61</f>
        <v>469576.61</v>
      </c>
      <c r="X95" s="31"/>
    </row>
    <row r="96" spans="1:24" s="1" customFormat="1" ht="13.5" customHeight="1">
      <c r="A96" s="28" t="s">
        <v>79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9" t="s">
        <v>72</v>
      </c>
      <c r="M96" s="29"/>
      <c r="N96" s="29" t="s">
        <v>151</v>
      </c>
      <c r="O96" s="29"/>
      <c r="P96" s="30">
        <f>115900</f>
        <v>115900</v>
      </c>
      <c r="Q96" s="30"/>
      <c r="R96" s="30"/>
      <c r="S96" s="30">
        <f>26873.5</f>
        <v>26873.5</v>
      </c>
      <c r="T96" s="30"/>
      <c r="U96" s="30"/>
      <c r="V96" s="30"/>
      <c r="W96" s="31">
        <f>89026.5</f>
        <v>89026.5</v>
      </c>
      <c r="X96" s="31"/>
    </row>
    <row r="97" spans="1:24" s="1" customFormat="1" ht="13.5" customHeight="1">
      <c r="A97" s="28" t="s">
        <v>84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9" t="s">
        <v>72</v>
      </c>
      <c r="M97" s="29"/>
      <c r="N97" s="29" t="s">
        <v>152</v>
      </c>
      <c r="O97" s="29"/>
      <c r="P97" s="30">
        <f>180</f>
        <v>180</v>
      </c>
      <c r="Q97" s="30"/>
      <c r="R97" s="30"/>
      <c r="S97" s="30">
        <f>180</f>
        <v>180</v>
      </c>
      <c r="T97" s="30"/>
      <c r="U97" s="30"/>
      <c r="V97" s="30"/>
      <c r="W97" s="31">
        <f>0</f>
        <v>0</v>
      </c>
      <c r="X97" s="31"/>
    </row>
    <row r="98" spans="1:24" s="1" customFormat="1" ht="13.5" customHeight="1">
      <c r="A98" s="28" t="s">
        <v>86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9" t="s">
        <v>72</v>
      </c>
      <c r="M98" s="29"/>
      <c r="N98" s="29" t="s">
        <v>153</v>
      </c>
      <c r="O98" s="29"/>
      <c r="P98" s="30">
        <f>11617.18</f>
        <v>11617.18</v>
      </c>
      <c r="Q98" s="30"/>
      <c r="R98" s="30"/>
      <c r="S98" s="30">
        <f>3097.58</f>
        <v>3097.58</v>
      </c>
      <c r="T98" s="30"/>
      <c r="U98" s="30"/>
      <c r="V98" s="30"/>
      <c r="W98" s="31">
        <f>8519.6</f>
        <v>8519.6</v>
      </c>
      <c r="X98" s="31"/>
    </row>
    <row r="99" spans="1:24" s="1" customFormat="1" ht="13.5" customHeight="1">
      <c r="A99" s="28" t="s">
        <v>82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9" t="s">
        <v>72</v>
      </c>
      <c r="M99" s="29"/>
      <c r="N99" s="29" t="s">
        <v>154</v>
      </c>
      <c r="O99" s="29"/>
      <c r="P99" s="30">
        <f>48000</f>
        <v>48000</v>
      </c>
      <c r="Q99" s="30"/>
      <c r="R99" s="30"/>
      <c r="S99" s="30">
        <f>45000</f>
        <v>45000</v>
      </c>
      <c r="T99" s="30"/>
      <c r="U99" s="30"/>
      <c r="V99" s="30"/>
      <c r="W99" s="31">
        <f>3000</f>
        <v>3000</v>
      </c>
      <c r="X99" s="31"/>
    </row>
    <row r="100" spans="1:24" s="1" customFormat="1" ht="13.5" customHeight="1">
      <c r="A100" s="28" t="s">
        <v>104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9" t="s">
        <v>72</v>
      </c>
      <c r="M100" s="29"/>
      <c r="N100" s="29" t="s">
        <v>155</v>
      </c>
      <c r="O100" s="29"/>
      <c r="P100" s="30">
        <f>661973.36</f>
        <v>661973.36</v>
      </c>
      <c r="Q100" s="30"/>
      <c r="R100" s="30"/>
      <c r="S100" s="30">
        <f>371916.64</f>
        <v>371916.64</v>
      </c>
      <c r="T100" s="30"/>
      <c r="U100" s="30"/>
      <c r="V100" s="30"/>
      <c r="W100" s="31">
        <f>290056.72</f>
        <v>290056.72</v>
      </c>
      <c r="X100" s="31"/>
    </row>
    <row r="101" spans="1:24" s="1" customFormat="1" ht="13.5" customHeight="1">
      <c r="A101" s="28" t="s">
        <v>106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9" t="s">
        <v>72</v>
      </c>
      <c r="M101" s="29"/>
      <c r="N101" s="29" t="s">
        <v>156</v>
      </c>
      <c r="O101" s="29"/>
      <c r="P101" s="30">
        <f>168999.12</f>
        <v>168999.12</v>
      </c>
      <c r="Q101" s="30"/>
      <c r="R101" s="30"/>
      <c r="S101" s="30">
        <f>68164</f>
        <v>68164</v>
      </c>
      <c r="T101" s="30"/>
      <c r="U101" s="30"/>
      <c r="V101" s="30"/>
      <c r="W101" s="31">
        <f>100835.12</f>
        <v>100835.12</v>
      </c>
      <c r="X101" s="31"/>
    </row>
    <row r="102" spans="1:24" s="1" customFormat="1" ht="13.5" customHeight="1">
      <c r="A102" s="28" t="s">
        <v>84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9" t="s">
        <v>72</v>
      </c>
      <c r="M102" s="29"/>
      <c r="N102" s="29" t="s">
        <v>157</v>
      </c>
      <c r="O102" s="29"/>
      <c r="P102" s="30">
        <f>65990</f>
        <v>65990</v>
      </c>
      <c r="Q102" s="30"/>
      <c r="R102" s="30"/>
      <c r="S102" s="30">
        <f>11680</f>
        <v>11680</v>
      </c>
      <c r="T102" s="30"/>
      <c r="U102" s="30"/>
      <c r="V102" s="30"/>
      <c r="W102" s="31">
        <f>54310</f>
        <v>54310</v>
      </c>
      <c r="X102" s="31"/>
    </row>
    <row r="103" spans="1:24" s="1" customFormat="1" ht="13.5" customHeight="1">
      <c r="A103" s="28" t="s">
        <v>89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9" t="s">
        <v>72</v>
      </c>
      <c r="M103" s="29"/>
      <c r="N103" s="29" t="s">
        <v>158</v>
      </c>
      <c r="O103" s="29"/>
      <c r="P103" s="30">
        <f>79900</f>
        <v>79900</v>
      </c>
      <c r="Q103" s="30"/>
      <c r="R103" s="30"/>
      <c r="S103" s="30">
        <f>49900</f>
        <v>49900</v>
      </c>
      <c r="T103" s="30"/>
      <c r="U103" s="30"/>
      <c r="V103" s="30"/>
      <c r="W103" s="31">
        <f>30000</f>
        <v>30000</v>
      </c>
      <c r="X103" s="31"/>
    </row>
    <row r="104" spans="1:24" s="1" customFormat="1" ht="13.5" customHeight="1">
      <c r="A104" s="28" t="s">
        <v>91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9" t="s">
        <v>72</v>
      </c>
      <c r="M104" s="29"/>
      <c r="N104" s="29" t="s">
        <v>159</v>
      </c>
      <c r="O104" s="29"/>
      <c r="P104" s="30">
        <f>450000</f>
        <v>450000</v>
      </c>
      <c r="Q104" s="30"/>
      <c r="R104" s="30"/>
      <c r="S104" s="30">
        <f>368662.43</f>
        <v>368662.43</v>
      </c>
      <c r="T104" s="30"/>
      <c r="U104" s="30"/>
      <c r="V104" s="30"/>
      <c r="W104" s="31">
        <f>81337.57</f>
        <v>81337.57</v>
      </c>
      <c r="X104" s="31"/>
    </row>
    <row r="105" spans="1:24" s="1" customFormat="1" ht="13.5" customHeight="1">
      <c r="A105" s="28" t="s">
        <v>93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9" t="s">
        <v>72</v>
      </c>
      <c r="M105" s="29"/>
      <c r="N105" s="29" t="s">
        <v>160</v>
      </c>
      <c r="O105" s="29"/>
      <c r="P105" s="30">
        <f>6742.73</f>
        <v>6742.73</v>
      </c>
      <c r="Q105" s="30"/>
      <c r="R105" s="30"/>
      <c r="S105" s="30">
        <f>6742.73</f>
        <v>6742.73</v>
      </c>
      <c r="T105" s="30"/>
      <c r="U105" s="30"/>
      <c r="V105" s="30"/>
      <c r="W105" s="31">
        <f>0</f>
        <v>0</v>
      </c>
      <c r="X105" s="31"/>
    </row>
    <row r="106" spans="1:24" s="1" customFormat="1" ht="13.5" customHeight="1">
      <c r="A106" s="28" t="s">
        <v>89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9" t="s">
        <v>72</v>
      </c>
      <c r="M106" s="29"/>
      <c r="N106" s="29" t="s">
        <v>161</v>
      </c>
      <c r="O106" s="29"/>
      <c r="P106" s="30">
        <f>18688</f>
        <v>18688</v>
      </c>
      <c r="Q106" s="30"/>
      <c r="R106" s="30"/>
      <c r="S106" s="30">
        <f>4638</f>
        <v>4638</v>
      </c>
      <c r="T106" s="30"/>
      <c r="U106" s="30"/>
      <c r="V106" s="30"/>
      <c r="W106" s="31">
        <f>14050</f>
        <v>14050</v>
      </c>
      <c r="X106" s="31"/>
    </row>
    <row r="107" spans="1:24" s="1" customFormat="1" ht="13.5" customHeight="1">
      <c r="A107" s="28" t="s">
        <v>89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9" t="s">
        <v>72</v>
      </c>
      <c r="M107" s="29"/>
      <c r="N107" s="29" t="s">
        <v>162</v>
      </c>
      <c r="O107" s="29"/>
      <c r="P107" s="30">
        <f>2000</f>
        <v>2000</v>
      </c>
      <c r="Q107" s="30"/>
      <c r="R107" s="30"/>
      <c r="S107" s="32" t="s">
        <v>81</v>
      </c>
      <c r="T107" s="32"/>
      <c r="U107" s="32"/>
      <c r="V107" s="32"/>
      <c r="W107" s="31">
        <f>2000</f>
        <v>2000</v>
      </c>
      <c r="X107" s="31"/>
    </row>
    <row r="108" spans="1:24" s="1" customFormat="1" ht="13.5" customHeight="1">
      <c r="A108" s="28" t="s">
        <v>163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9" t="s">
        <v>72</v>
      </c>
      <c r="M108" s="29"/>
      <c r="N108" s="29" t="s">
        <v>164</v>
      </c>
      <c r="O108" s="29"/>
      <c r="P108" s="30">
        <f>29700355.65</f>
        <v>29700355.65</v>
      </c>
      <c r="Q108" s="30"/>
      <c r="R108" s="30"/>
      <c r="S108" s="30">
        <f>14175947.49</f>
        <v>14175947.49</v>
      </c>
      <c r="T108" s="30"/>
      <c r="U108" s="30"/>
      <c r="V108" s="30"/>
      <c r="W108" s="31">
        <f>15524408.16</f>
        <v>15524408.16</v>
      </c>
      <c r="X108" s="31"/>
    </row>
    <row r="109" spans="1:24" s="1" customFormat="1" ht="15" customHeight="1">
      <c r="A109" s="33" t="s">
        <v>165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4" t="s">
        <v>166</v>
      </c>
      <c r="M109" s="34"/>
      <c r="N109" s="34" t="s">
        <v>38</v>
      </c>
      <c r="O109" s="34"/>
      <c r="P109" s="35">
        <f>-4679974.01</f>
        <v>-4679974.01</v>
      </c>
      <c r="Q109" s="35"/>
      <c r="R109" s="35"/>
      <c r="S109" s="35">
        <f>-1630908.16</f>
        <v>-1630908.16</v>
      </c>
      <c r="T109" s="35"/>
      <c r="U109" s="35"/>
      <c r="V109" s="35"/>
      <c r="W109" s="36" t="s">
        <v>38</v>
      </c>
      <c r="X109" s="36"/>
    </row>
    <row r="110" spans="1:24" s="1" customFormat="1" ht="13.5" customHeight="1">
      <c r="A110" s="7" t="s">
        <v>18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12" t="s">
        <v>167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25</v>
      </c>
      <c r="M112" s="13"/>
      <c r="N112" s="13" t="s">
        <v>168</v>
      </c>
      <c r="O112" s="13"/>
      <c r="P112" s="14" t="s">
        <v>27</v>
      </c>
      <c r="Q112" s="14"/>
      <c r="R112" s="14"/>
      <c r="S112" s="14" t="s">
        <v>28</v>
      </c>
      <c r="T112" s="14"/>
      <c r="U112" s="14"/>
      <c r="V112" s="14"/>
      <c r="W112" s="15" t="s">
        <v>29</v>
      </c>
      <c r="X112" s="15"/>
    </row>
    <row r="113" spans="1:24" s="1" customFormat="1" ht="12.75" customHeight="1">
      <c r="A113" s="16" t="s">
        <v>30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31</v>
      </c>
      <c r="M113" s="16"/>
      <c r="N113" s="16" t="s">
        <v>32</v>
      </c>
      <c r="O113" s="16"/>
      <c r="P113" s="17" t="s">
        <v>33</v>
      </c>
      <c r="Q113" s="17"/>
      <c r="R113" s="17"/>
      <c r="S113" s="17" t="s">
        <v>34</v>
      </c>
      <c r="T113" s="17"/>
      <c r="U113" s="17"/>
      <c r="V113" s="17"/>
      <c r="W113" s="18" t="s">
        <v>35</v>
      </c>
      <c r="X113" s="18"/>
    </row>
    <row r="114" spans="1:24" s="1" customFormat="1" ht="13.5" customHeight="1">
      <c r="A114" s="19" t="s">
        <v>169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170</v>
      </c>
      <c r="M114" s="20"/>
      <c r="N114" s="20" t="s">
        <v>38</v>
      </c>
      <c r="O114" s="20"/>
      <c r="P114" s="37">
        <f>4679974.01</f>
        <v>4679974.01</v>
      </c>
      <c r="Q114" s="37"/>
      <c r="R114" s="37"/>
      <c r="S114" s="21">
        <f>1630908.16</f>
        <v>1630908.16</v>
      </c>
      <c r="T114" s="21"/>
      <c r="U114" s="21"/>
      <c r="V114" s="21"/>
      <c r="W114" s="38">
        <f>3049065.85</f>
        <v>3049065.85</v>
      </c>
      <c r="X114" s="38"/>
    </row>
    <row r="115" spans="1:24" s="1" customFormat="1" ht="13.5" customHeight="1">
      <c r="A115" s="39" t="s">
        <v>171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40" t="s">
        <v>18</v>
      </c>
      <c r="M115" s="40"/>
      <c r="N115" s="40" t="s">
        <v>18</v>
      </c>
      <c r="O115" s="40"/>
      <c r="P115" s="41" t="s">
        <v>18</v>
      </c>
      <c r="Q115" s="41"/>
      <c r="R115" s="41"/>
      <c r="S115" s="42" t="s">
        <v>18</v>
      </c>
      <c r="T115" s="42"/>
      <c r="U115" s="42"/>
      <c r="V115" s="42"/>
      <c r="W115" s="43" t="s">
        <v>18</v>
      </c>
      <c r="X115" s="43"/>
    </row>
    <row r="116" spans="1:24" s="1" customFormat="1" ht="13.5" customHeight="1">
      <c r="A116" s="23" t="s">
        <v>172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4" t="s">
        <v>173</v>
      </c>
      <c r="M116" s="44"/>
      <c r="N116" s="24" t="s">
        <v>38</v>
      </c>
      <c r="O116" s="24"/>
      <c r="P116" s="45" t="s">
        <v>81</v>
      </c>
      <c r="Q116" s="45"/>
      <c r="R116" s="45"/>
      <c r="S116" s="46" t="s">
        <v>81</v>
      </c>
      <c r="T116" s="46"/>
      <c r="U116" s="46"/>
      <c r="V116" s="46"/>
      <c r="W116" s="47" t="s">
        <v>81</v>
      </c>
      <c r="X116" s="47"/>
    </row>
    <row r="117" spans="1:24" s="1" customFormat="1" ht="13.5" customHeight="1">
      <c r="A117" s="48" t="s">
        <v>18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s="1" customFormat="1" ht="13.5" customHeight="1">
      <c r="A118" s="28" t="s">
        <v>174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40" t="s">
        <v>175</v>
      </c>
      <c r="M118" s="40"/>
      <c r="N118" s="40" t="s">
        <v>38</v>
      </c>
      <c r="O118" s="40"/>
      <c r="P118" s="41" t="s">
        <v>81</v>
      </c>
      <c r="Q118" s="41"/>
      <c r="R118" s="41"/>
      <c r="S118" s="32" t="s">
        <v>81</v>
      </c>
      <c r="T118" s="32"/>
      <c r="U118" s="32"/>
      <c r="V118" s="32"/>
      <c r="W118" s="43" t="s">
        <v>81</v>
      </c>
      <c r="X118" s="43"/>
    </row>
    <row r="119" spans="1:24" s="1" customFormat="1" ht="13.5" customHeight="1">
      <c r="A119" s="28" t="s">
        <v>18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9" t="s">
        <v>175</v>
      </c>
      <c r="M119" s="29"/>
      <c r="N119" s="29" t="s">
        <v>18</v>
      </c>
      <c r="O119" s="29"/>
      <c r="P119" s="49" t="s">
        <v>81</v>
      </c>
      <c r="Q119" s="49"/>
      <c r="R119" s="49"/>
      <c r="S119" s="32" t="s">
        <v>81</v>
      </c>
      <c r="T119" s="32"/>
      <c r="U119" s="32"/>
      <c r="V119" s="32"/>
      <c r="W119" s="50" t="s">
        <v>81</v>
      </c>
      <c r="X119" s="50"/>
    </row>
    <row r="120" spans="1:24" s="1" customFormat="1" ht="13.5" customHeight="1">
      <c r="A120" s="28" t="s">
        <v>176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9" t="s">
        <v>177</v>
      </c>
      <c r="M120" s="29"/>
      <c r="N120" s="29" t="s">
        <v>193</v>
      </c>
      <c r="O120" s="29"/>
      <c r="P120" s="51">
        <f>4679974.01</f>
        <v>4679974.01</v>
      </c>
      <c r="Q120" s="51"/>
      <c r="R120" s="51"/>
      <c r="S120" s="30">
        <f>1630908.16</f>
        <v>1630908.16</v>
      </c>
      <c r="T120" s="30"/>
      <c r="U120" s="30"/>
      <c r="V120" s="30"/>
      <c r="W120" s="52">
        <f>3049065.85</f>
        <v>3049065.85</v>
      </c>
      <c r="X120" s="52"/>
    </row>
    <row r="121" spans="1:24" s="1" customFormat="1" ht="13.5" customHeight="1">
      <c r="A121" s="28" t="s">
        <v>194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9" t="s">
        <v>178</v>
      </c>
      <c r="M121" s="29"/>
      <c r="N121" s="29" t="s">
        <v>179</v>
      </c>
      <c r="O121" s="29"/>
      <c r="P121" s="51">
        <f>-65425516.9</f>
        <v>-65425516.9</v>
      </c>
      <c r="Q121" s="51"/>
      <c r="R121" s="51"/>
      <c r="S121" s="30">
        <f>-30166381.21</f>
        <v>-30166381.21</v>
      </c>
      <c r="T121" s="30"/>
      <c r="U121" s="30"/>
      <c r="V121" s="30"/>
      <c r="W121" s="53" t="s">
        <v>38</v>
      </c>
      <c r="X121" s="53"/>
    </row>
    <row r="122" spans="1:24" s="1" customFormat="1" ht="13.5" customHeight="1">
      <c r="A122" s="28" t="s">
        <v>195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9" t="s">
        <v>180</v>
      </c>
      <c r="M122" s="29"/>
      <c r="N122" s="29" t="s">
        <v>181</v>
      </c>
      <c r="O122" s="29"/>
      <c r="P122" s="51">
        <f>70105490.91</f>
        <v>70105490.91</v>
      </c>
      <c r="Q122" s="51"/>
      <c r="R122" s="51"/>
      <c r="S122" s="30">
        <f>31797289.37</f>
        <v>31797289.37</v>
      </c>
      <c r="T122" s="30"/>
      <c r="U122" s="30"/>
      <c r="V122" s="30"/>
      <c r="W122" s="53" t="s">
        <v>38</v>
      </c>
      <c r="X122" s="53"/>
    </row>
    <row r="123" spans="1:24" s="1" customFormat="1" ht="13.5" customHeight="1">
      <c r="A123" s="55" t="s">
        <v>18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 s="1" customFormat="1" ht="13.5" customHeight="1">
      <c r="A124" s="7" t="s">
        <v>182</v>
      </c>
      <c r="B124" s="7"/>
      <c r="C124" s="7"/>
      <c r="D124" s="7"/>
      <c r="E124" s="7"/>
      <c r="F124" s="7"/>
      <c r="G124" s="7"/>
      <c r="H124" s="7"/>
      <c r="I124" s="54" t="s">
        <v>18</v>
      </c>
      <c r="J124" s="54"/>
      <c r="K124" s="54"/>
      <c r="L124" s="54"/>
      <c r="M124" s="54"/>
      <c r="N124" s="54" t="s">
        <v>183</v>
      </c>
      <c r="O124" s="54"/>
      <c r="P124" s="54"/>
      <c r="Q124" s="54"/>
      <c r="R124" s="7" t="s">
        <v>18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18</v>
      </c>
      <c r="B125" s="7"/>
      <c r="C125" s="7"/>
      <c r="D125" s="7"/>
      <c r="E125" s="7"/>
      <c r="F125" s="7"/>
      <c r="G125" s="7"/>
      <c r="H125" s="7"/>
      <c r="I125" s="10" t="s">
        <v>18</v>
      </c>
      <c r="J125" s="56" t="s">
        <v>184</v>
      </c>
      <c r="K125" s="56"/>
      <c r="L125" s="56"/>
      <c r="M125" s="10" t="s">
        <v>18</v>
      </c>
      <c r="N125" s="10" t="s">
        <v>18</v>
      </c>
      <c r="O125" s="56" t="s">
        <v>185</v>
      </c>
      <c r="P125" s="56"/>
      <c r="Q125" s="7" t="s">
        <v>18</v>
      </c>
      <c r="R125" s="7"/>
      <c r="S125" s="7"/>
      <c r="T125" s="7"/>
      <c r="U125" s="7"/>
      <c r="V125" s="7"/>
      <c r="W125" s="7"/>
      <c r="X125" s="7"/>
    </row>
    <row r="126" spans="1:24" s="1" customFormat="1" ht="7.5" customHeight="1">
      <c r="A126" s="7" t="s">
        <v>18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186</v>
      </c>
      <c r="B127" s="7"/>
      <c r="C127" s="7"/>
      <c r="D127" s="7"/>
      <c r="E127" s="7"/>
      <c r="F127" s="7"/>
      <c r="G127" s="7"/>
      <c r="H127" s="7"/>
      <c r="I127" s="54" t="s">
        <v>18</v>
      </c>
      <c r="J127" s="54"/>
      <c r="K127" s="54"/>
      <c r="L127" s="54"/>
      <c r="M127" s="54"/>
      <c r="N127" s="54" t="s">
        <v>187</v>
      </c>
      <c r="O127" s="54"/>
      <c r="P127" s="54"/>
      <c r="Q127" s="54"/>
      <c r="R127" s="7" t="s">
        <v>18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18</v>
      </c>
      <c r="B128" s="7"/>
      <c r="C128" s="7"/>
      <c r="D128" s="7"/>
      <c r="E128" s="7"/>
      <c r="F128" s="7"/>
      <c r="G128" s="7"/>
      <c r="H128" s="7"/>
      <c r="I128" s="10" t="s">
        <v>18</v>
      </c>
      <c r="J128" s="56" t="s">
        <v>184</v>
      </c>
      <c r="K128" s="56"/>
      <c r="L128" s="56"/>
      <c r="M128" s="10" t="s">
        <v>18</v>
      </c>
      <c r="N128" s="10" t="s">
        <v>18</v>
      </c>
      <c r="O128" s="56" t="s">
        <v>185</v>
      </c>
      <c r="P128" s="56"/>
      <c r="Q128" s="7" t="s">
        <v>18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188</v>
      </c>
      <c r="B130" s="7"/>
      <c r="C130" s="54" t="s">
        <v>189</v>
      </c>
      <c r="D130" s="54"/>
      <c r="E130" s="54"/>
      <c r="F130" s="54"/>
      <c r="G130" s="54"/>
      <c r="H130" s="54"/>
      <c r="I130" s="54" t="s">
        <v>18</v>
      </c>
      <c r="J130" s="54"/>
      <c r="K130" s="54"/>
      <c r="L130" s="54"/>
      <c r="M130" s="54"/>
      <c r="N130" s="54" t="s">
        <v>190</v>
      </c>
      <c r="O130" s="54"/>
      <c r="P130" s="54"/>
      <c r="Q130" s="54"/>
      <c r="R130" s="7" t="s">
        <v>18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18</v>
      </c>
      <c r="B131" s="7"/>
      <c r="C131" s="10" t="s">
        <v>18</v>
      </c>
      <c r="D131" s="56" t="s">
        <v>191</v>
      </c>
      <c r="E131" s="56"/>
      <c r="F131" s="56"/>
      <c r="G131" s="56"/>
      <c r="H131" s="10" t="s">
        <v>18</v>
      </c>
      <c r="I131" s="10" t="s">
        <v>18</v>
      </c>
      <c r="J131" s="56" t="s">
        <v>184</v>
      </c>
      <c r="K131" s="56"/>
      <c r="L131" s="56"/>
      <c r="M131" s="10" t="s">
        <v>18</v>
      </c>
      <c r="N131" s="10" t="s">
        <v>18</v>
      </c>
      <c r="O131" s="56" t="s">
        <v>185</v>
      </c>
      <c r="P131" s="56"/>
      <c r="Q131" s="7" t="s">
        <v>18</v>
      </c>
      <c r="R131" s="7"/>
      <c r="S131" s="7"/>
      <c r="T131" s="7"/>
      <c r="U131" s="7"/>
      <c r="V131" s="7"/>
      <c r="W131" s="7"/>
      <c r="X131" s="7"/>
    </row>
    <row r="132" spans="1:24" s="1" customFormat="1" ht="15.75" customHeight="1">
      <c r="A132" s="7" t="s">
        <v>18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57" t="s">
        <v>192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7" t="s">
        <v>18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</sheetData>
  <sheetProtection/>
  <mergeCells count="701">
    <mergeCell ref="A133:J133"/>
    <mergeCell ref="K133:X133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7:X117"/>
    <mergeCell ref="A118:K118"/>
    <mergeCell ref="L118:M118"/>
    <mergeCell ref="N118:O118"/>
    <mergeCell ref="P118:R118"/>
    <mergeCell ref="S118:V118"/>
    <mergeCell ref="W118:X118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28:X28"/>
    <mergeCell ref="A29:X29"/>
    <mergeCell ref="A30:K30"/>
    <mergeCell ref="L30:M30"/>
    <mergeCell ref="N30:O30"/>
    <mergeCell ref="P30:R30"/>
    <mergeCell ref="S30:V30"/>
    <mergeCell ref="W30:X30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45" right="0" top="0.17" bottom="0.16" header="0.17" footer="0.16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28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2015-07-02T06:44:09Z</cp:lastPrinted>
  <dcterms:modified xsi:type="dcterms:W3CDTF">2015-07-02T06:46:09Z</dcterms:modified>
  <cp:category/>
  <cp:version/>
  <cp:contentType/>
  <cp:contentStatus/>
</cp:coreProperties>
</file>