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<sst xmlns="http://schemas.openxmlformats.org/spreadsheetml/2006/main" count="451" uniqueCount="201">
  <si>
    <t>ОТЧЕТ ОБ ИСПОЛНЕНИИ БЮДЖЕТА</t>
  </si>
  <si>
    <t>КОДЫ</t>
  </si>
  <si>
    <t xml:space="preserve">Форма по ОКУД </t>
  </si>
  <si>
    <t>0503117</t>
  </si>
  <si>
    <t>на 1 октября 2015 г.</t>
  </si>
  <si>
    <t xml:space="preserve">Дата </t>
  </si>
  <si>
    <t>Наименование финансового органа</t>
  </si>
  <si>
    <t>МО сп Локосово</t>
  </si>
  <si>
    <t xml:space="preserve">по ОКПО </t>
  </si>
  <si>
    <t xml:space="preserve">Глава по БК </t>
  </si>
  <si>
    <t>79555066</t>
  </si>
  <si>
    <t>650</t>
  </si>
  <si>
    <t>Наименование публично-правового образования</t>
  </si>
  <si>
    <t>Бюджет МО сп Локосово</t>
  </si>
  <si>
    <t xml:space="preserve">по ОКТМО </t>
  </si>
  <si>
    <t>71826416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</si>
  <si>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</si>
  <si>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</si>
  <si>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</si>
  <si>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</si>
  <si>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</si>
  <si>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</si>
  <si>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</si>
  <si>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</si>
  <si>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</si>
  <si>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</si>
  <si>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</si>
  <si>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</si>
  <si>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</si>
  <si>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</si>
  <si>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</si>
  <si>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</si>
  <si>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</si>
  <si>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</si>
  <si>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</si>
  <si>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</si>
  <si>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</si>
  <si>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</si>
  <si>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</si>
  <si>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</si>
  <si>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</si>
  <si>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</si>
  <si>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</si>
  <si>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</si>
  <si>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</si>
  <si>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</si>
  <si>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</si>
  <si>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</si>
  <si>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</si>
  <si>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</si>
  <si>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</si>
  <si>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</si>
  <si>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</si>
  <si>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доходы от компенсации затрат бюджетов сельских поселений</t>
  </si>
  <si>
    <t>650 11302995 10 0000 130</t>
  </si>
  <si>
    <t>Дотации бюджетам сельских поселений на выравнивание бюджетной обеспеченности</t>
  </si>
  <si>
    <t>650 20201001 10 0000 151</t>
  </si>
  <si>
    <t>Дотации бюджетам сельских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</si>
  <si>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</si>
  <si>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</si>
  <si>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</si>
  <si>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</si>
  <si>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</si>
  <si>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</si>
  <si>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650 20204014 10 0000 151</t>
  </si>
  <si>
    <t>Прочие межбюджетные трансферты, передаваемые бюджетам сельских поселений</t>
  </si>
  <si>
    <t>650 20204999 10 0000 151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</si>
  <si>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</si>
  <si>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</si>
  <si>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</si>
  <si>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</si>
  <si>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</si>
  <si>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</si>
  <si>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</si>
  <si>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650 0102 4090201 121 211</t>
  </si>
  <si>
    <t>Начисления на выплаты по оплате труда</t>
  </si>
  <si>
    <t>650 0102 4090201 121 213</t>
  </si>
  <si>
    <t>650 0104 4090204 121 211</t>
  </si>
  <si>
    <t>650 0104 4090204 121 213</t>
  </si>
  <si>
    <t>Прочие выплаты</t>
  </si>
  <si>
    <t>650 0104 4090204 122 212</t>
  </si>
  <si>
    <t>Транспортные услуги</t>
  </si>
  <si>
    <t>650 0104 4090204 122 222</t>
  </si>
  <si>
    <t>Прочие работы, услуги</t>
  </si>
  <si>
    <t>650 0104 4090204 122 226</t>
  </si>
  <si>
    <t>Услуги связи</t>
  </si>
  <si>
    <t>650 0104 4090204 244 221</t>
  </si>
  <si>
    <t>650 0104 4090204 244 226</t>
  </si>
  <si>
    <t>Прочие расходы</t>
  </si>
  <si>
    <t>650 0104 4090204 244 290</t>
  </si>
  <si>
    <t>Увеличение стоимости основных средств</t>
  </si>
  <si>
    <t>650 0104 4090204 244 310</t>
  </si>
  <si>
    <t>Увеличение стоимости материальных запасов</t>
  </si>
  <si>
    <t>650 0104 4090204 244 340</t>
  </si>
  <si>
    <t>650 0104 4090204 852 290</t>
  </si>
  <si>
    <t>-</t>
  </si>
  <si>
    <t>650 0104 4090204 853 290</t>
  </si>
  <si>
    <t>650 0111 4090705 870 290</t>
  </si>
  <si>
    <t>650 0113 4090092 244 290</t>
  </si>
  <si>
    <t>650 0113 4090092 244 310</t>
  </si>
  <si>
    <t>650 0113 4090092 244 340</t>
  </si>
  <si>
    <t>650 0113 4090092 831 290</t>
  </si>
  <si>
    <t>650 0113 4090092 853 290</t>
  </si>
  <si>
    <t>650 0113 4090240 122 212</t>
  </si>
  <si>
    <t>650 0113 4090240 244 222</t>
  </si>
  <si>
    <t>Коммунальные услуги</t>
  </si>
  <si>
    <t>650 0113 4090240 244 223</t>
  </si>
  <si>
    <t>Работы, услуги по содержанию имущества</t>
  </si>
  <si>
    <t>650 0113 4090240 244 225</t>
  </si>
  <si>
    <t>650 0113 4090240 244 226</t>
  </si>
  <si>
    <t>650 0113 4090240 244 340</t>
  </si>
  <si>
    <t>650 0113 4090240 851 290</t>
  </si>
  <si>
    <t>650 0113 4090240 852 290</t>
  </si>
  <si>
    <t>650 0113 4090240 853 290</t>
  </si>
  <si>
    <t>650 0203 4090118 244 222</t>
  </si>
  <si>
    <t>650 0203 4095118 121 211</t>
  </si>
  <si>
    <t>650 0203 4095118 121 213</t>
  </si>
  <si>
    <t>650 0304 4095930 121 211</t>
  </si>
  <si>
    <t>650 0304 4095930 121 213</t>
  </si>
  <si>
    <t>650 0309 4092800 244 340</t>
  </si>
  <si>
    <t>650 0309 4092801 244 225</t>
  </si>
  <si>
    <t>650 0309 4092801 244 226</t>
  </si>
  <si>
    <t>650 0309 4092801 244 340</t>
  </si>
  <si>
    <t>650 0314 4091463 244 226</t>
  </si>
  <si>
    <t>650 0314 4095463 244 226</t>
  </si>
  <si>
    <t>650 0401 4015604 111 211</t>
  </si>
  <si>
    <t>650 0401 4015604 111 213</t>
  </si>
  <si>
    <t>650 0409 4092441 244 225</t>
  </si>
  <si>
    <t>650 0409 4092441 244 226</t>
  </si>
  <si>
    <t>650 0409 4092441 244 340</t>
  </si>
  <si>
    <t>650 0409 4092448 244 225</t>
  </si>
  <si>
    <t>650 0410 4090240 244 221</t>
  </si>
  <si>
    <t>650 0410 4090240 244 225</t>
  </si>
  <si>
    <t>650 0410 4090240 244 226</t>
  </si>
  <si>
    <t>650 0410 4090240 244 310</t>
  </si>
  <si>
    <t>650 0410 4090240 244 340</t>
  </si>
  <si>
    <t>650 0503 4092449 244 225</t>
  </si>
  <si>
    <t>650 0503 4092711 244 223</t>
  </si>
  <si>
    <t>650 0503 4092711 244 225</t>
  </si>
  <si>
    <t>650 0503 4092711 244 226</t>
  </si>
  <si>
    <t>650 0503 4092714 244 225</t>
  </si>
  <si>
    <t>650 0503 4092714 244 310</t>
  </si>
  <si>
    <t>650 0603 4092410 244 340</t>
  </si>
  <si>
    <t>650 0707 4092101 244 222</t>
  </si>
  <si>
    <t>650 0707 4092101 244 290</t>
  </si>
  <si>
    <t>650 0707 4092101 244 340</t>
  </si>
  <si>
    <t>Безвозмездные перечисления государственным и муниципальным организациям</t>
  </si>
  <si>
    <t>650 0801 4090059 611 241</t>
  </si>
  <si>
    <t>650 0801 4090059 612 241</t>
  </si>
  <si>
    <t>650 0801 4095471 611 241</t>
  </si>
  <si>
    <t>Пенсии, пособия, выплачиваемые организациями сектора государственного управления</t>
  </si>
  <si>
    <t>650 1001 4093491 312 263</t>
  </si>
  <si>
    <t>Пособия по социальной помощи населению</t>
  </si>
  <si>
    <t>650 1003 4093514 313 262</t>
  </si>
  <si>
    <t>650 1101 4090059 111 211</t>
  </si>
  <si>
    <t>650 1101 4090059 111 213</t>
  </si>
  <si>
    <t>650 1101 4090059 112 212</t>
  </si>
  <si>
    <t>650 1101 4090059 112 226</t>
  </si>
  <si>
    <t>650 1101 4090059 244 221</t>
  </si>
  <si>
    <t>650 1101 4090059 244 222</t>
  </si>
  <si>
    <t>650 1101 4090059 244 223</t>
  </si>
  <si>
    <t>650 1101 4090059 244 225</t>
  </si>
  <si>
    <t>650 1101 4090059 244 226</t>
  </si>
  <si>
    <t>650 1101 4090059 244 290</t>
  </si>
  <si>
    <t>650 1101 4090059 244 310</t>
  </si>
  <si>
    <t>650 1101 4090059 244 340</t>
  </si>
  <si>
    <t>650 1101 4090059 851 290</t>
  </si>
  <si>
    <t>650 1101 4090059 852 290</t>
  </si>
  <si>
    <t>Перечисления другим бюджетам бюджетной системы Российской Федерации</t>
  </si>
  <si>
    <t>650 1403 4094300 540 251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</si>
  <si>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</si>
  <si>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</si>
  <si>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</si>
  <si>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</si>
  <si>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</si>
  <si>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</si>
  <si>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</si>
  <si>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</si>
  <si>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</si>
  <si>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</si>
  <si>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</si>
  <si>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</si>
  <si>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</si>
  <si>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710</t>
  </si>
  <si>
    <t>650 01050201 10 0000 510</t>
  </si>
  <si>
    <t>720</t>
  </si>
  <si>
    <t>650 01050201 10 0000 610</t>
  </si>
  <si>
    <t>Глава сельского поселения Локосово</t>
  </si>
  <si>
    <t>Нурмашева Н. В.</t>
  </si>
  <si>
    <t>(подпись)</t>
  </si>
  <si>
    <t>(расшифровка подписи)</t>
  </si>
  <si>
    <t>Главный бухгалтер</t>
  </si>
  <si>
    <t>Усова Г. А.</t>
  </si>
  <si>
    <t>Исполнитель:</t>
  </si>
  <si>
    <t>Главный специалист</t>
  </si>
  <si>
    <t>Григорьева Т. А.</t>
  </si>
  <si>
    <t>(должность)</t>
  </si>
  <si>
    <t xml:space="preserve">   2 октября 2015 г.   </t>
  </si>
  <si>
    <t xml:space="preserve">     увеличение прочих остатков денежных средств бюджетов поселений</t>
  </si>
  <si>
    <t xml:space="preserve">     уменьшение прочих остатков денежных средств бюджетов поселений</t>
  </si>
  <si>
    <t>650 01050000 00 0000 000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</si>
</sst>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8"/>
  <sheetViews>
    <sheetView tabSelected="1" zoomScalePageLayoutView="0" workbookViewId="0" topLeftCell="A1">
      <selection activeCell="M139" sqref="M139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3.28125" style="1" customWidth="1"/>
    <col min="12" max="13" width="3.7109375" style="1" customWidth="1"/>
    <col min="14" max="14" width="2.7109375" style="1" customWidth="1"/>
    <col min="15" max="15" width="18.0039062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2" t="s">
        <v>1</v>
      </c>
    </row>
    <row r="2" spans="1:24" s="1" customFormat="1" ht="13.5" customHeight="1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3" t="s">
        <v>3</v>
      </c>
    </row>
    <row r="3" spans="1:24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6" t="s">
        <v>5</v>
      </c>
      <c r="W3" s="56"/>
      <c r="X3" s="4">
        <v>42278</v>
      </c>
    </row>
    <row r="4" spans="1:24" s="1" customFormat="1" ht="13.5" customHeight="1">
      <c r="A4" s="9" t="s">
        <v>6</v>
      </c>
      <c r="B4" s="9"/>
      <c r="C4" s="9"/>
      <c r="D4" s="9"/>
      <c r="E4" s="9"/>
      <c r="F4" s="55" t="s">
        <v>7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6" t="s">
        <v>8</v>
      </c>
      <c r="V4" s="56"/>
      <c r="W4" s="56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6" t="s">
        <v>9</v>
      </c>
      <c r="V5" s="56"/>
      <c r="W5" s="56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5" t="s">
        <v>13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6" t="s">
        <v>14</v>
      </c>
      <c r="V6" s="56"/>
      <c r="W6" s="56"/>
      <c r="X6" s="6" t="s">
        <v>15</v>
      </c>
    </row>
    <row r="7" spans="1:24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18</v>
      </c>
    </row>
    <row r="8" spans="1:24" s="1" customFormat="1" ht="13.5" customHeight="1">
      <c r="A8" s="9" t="s">
        <v>19</v>
      </c>
      <c r="B8" s="9"/>
      <c r="C8" s="9"/>
      <c r="D8" s="9"/>
      <c r="E8" s="9" t="s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56" t="s">
        <v>21</v>
      </c>
      <c r="U8" s="56"/>
      <c r="V8" s="56"/>
      <c r="W8" s="56"/>
      <c r="X8" s="7" t="s">
        <v>22</v>
      </c>
    </row>
    <row r="9" spans="1:24" s="1" customFormat="1" ht="13.5" customHeight="1">
      <c r="A9" s="42" t="s">
        <v>23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s="1" customFormat="1" ht="34.5" customHeight="1">
      <c r="A10" s="43" t="s">
        <v>24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 t="s">
        <v>25</v>
      </c>
      <c r="M10" s="43"/>
      <c r="N10" s="43" t="s">
        <v>26</v>
      </c>
      <c r="O10" s="43"/>
      <c r="P10" s="44" t="s">
        <v>27</v>
      </c>
      <c r="Q10" s="44"/>
      <c r="R10" s="44"/>
      <c r="S10" s="44" t="s">
        <v>28</v>
      </c>
      <c r="T10" s="44"/>
      <c r="U10" s="44"/>
      <c r="V10" s="44"/>
      <c r="W10" s="45" t="s">
        <v>29</v>
      </c>
      <c r="X10" s="45"/>
    </row>
    <row r="11" spans="1:24" s="1" customFormat="1" ht="12.75" customHeight="1">
      <c r="A11" s="39" t="s">
        <v>30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 t="s">
        <v>31</v>
      </c>
      <c r="M11" s="39"/>
      <c r="N11" s="39" t="s">
        <v>32</v>
      </c>
      <c r="O11" s="39"/>
      <c r="P11" s="40" t="s">
        <v>33</v>
      </c>
      <c r="Q11" s="40"/>
      <c r="R11" s="40"/>
      <c r="S11" s="40" t="s">
        <v>34</v>
      </c>
      <c r="T11" s="40"/>
      <c r="U11" s="40"/>
      <c r="V11" s="40"/>
      <c r="W11" s="41" t="s">
        <v>35</v>
      </c>
      <c r="X11" s="41"/>
    </row>
    <row r="12" spans="1:24" s="1" customFormat="1" ht="13.5" customHeight="1">
      <c r="A12" s="34" t="s">
        <v>36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 t="s">
        <v>37</v>
      </c>
      <c r="M12" s="35"/>
      <c r="N12" s="35" t="s">
        <v>38</v>
      </c>
      <c r="O12" s="35"/>
      <c r="P12" s="37">
        <f>67348801.23</f>
        <v>67348801.23</v>
      </c>
      <c r="Q12" s="37"/>
      <c r="R12" s="37"/>
      <c r="S12" s="37">
        <f>48426029.77</f>
        <v>48426029.77</v>
      </c>
      <c r="T12" s="37"/>
      <c r="U12" s="37"/>
      <c r="V12" s="37"/>
      <c r="W12" s="51">
        <f>18922771.46</f>
        <v>18922771.46</v>
      </c>
      <c r="X12" s="51"/>
    </row>
    <row r="13" spans="1:24" s="1" customFormat="1" ht="45" customHeight="1">
      <c r="A13" s="26" t="s">
        <v>39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8" t="s">
        <v>37</v>
      </c>
      <c r="M13" s="28"/>
      <c r="N13" s="28" t="s">
        <v>40</v>
      </c>
      <c r="O13" s="28"/>
      <c r="P13" s="53">
        <f>4312100</f>
        <v>4312100</v>
      </c>
      <c r="Q13" s="53"/>
      <c r="R13" s="53"/>
      <c r="S13" s="53">
        <f>2805172.98</f>
        <v>2805172.98</v>
      </c>
      <c r="T13" s="53"/>
      <c r="U13" s="53"/>
      <c r="V13" s="53"/>
      <c r="W13" s="54">
        <f>1506927.02</f>
        <v>1506927.02</v>
      </c>
      <c r="X13" s="54"/>
    </row>
    <row r="14" spans="1:24" s="1" customFormat="1" ht="66" customHeight="1">
      <c r="A14" s="26" t="s">
        <v>41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8" t="s">
        <v>37</v>
      </c>
      <c r="M14" s="28"/>
      <c r="N14" s="28" t="s">
        <v>42</v>
      </c>
      <c r="O14" s="28"/>
      <c r="P14" s="53">
        <f>30000</f>
        <v>30000</v>
      </c>
      <c r="Q14" s="53"/>
      <c r="R14" s="53"/>
      <c r="S14" s="53">
        <f>6070</f>
        <v>6070</v>
      </c>
      <c r="T14" s="53"/>
      <c r="U14" s="53"/>
      <c r="V14" s="53"/>
      <c r="W14" s="54">
        <f>23930</f>
        <v>23930</v>
      </c>
      <c r="X14" s="54"/>
    </row>
    <row r="15" spans="1:24" s="1" customFormat="1" ht="24" customHeight="1">
      <c r="A15" s="26" t="s">
        <v>43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8" t="s">
        <v>37</v>
      </c>
      <c r="M15" s="28"/>
      <c r="N15" s="28" t="s">
        <v>44</v>
      </c>
      <c r="O15" s="28"/>
      <c r="P15" s="53">
        <f>10000</f>
        <v>10000</v>
      </c>
      <c r="Q15" s="53"/>
      <c r="R15" s="53"/>
      <c r="S15" s="53">
        <f>413.45</f>
        <v>413.45</v>
      </c>
      <c r="T15" s="53"/>
      <c r="U15" s="53"/>
      <c r="V15" s="53"/>
      <c r="W15" s="54">
        <f>9586.55</f>
        <v>9586.55</v>
      </c>
      <c r="X15" s="54"/>
    </row>
    <row r="16" spans="1:24" s="1" customFormat="1" ht="24" customHeight="1">
      <c r="A16" s="26" t="s">
        <v>45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8" t="s">
        <v>37</v>
      </c>
      <c r="M16" s="28"/>
      <c r="N16" s="28" t="s">
        <v>46</v>
      </c>
      <c r="O16" s="28"/>
      <c r="P16" s="53">
        <f>233500</f>
        <v>233500</v>
      </c>
      <c r="Q16" s="53"/>
      <c r="R16" s="53"/>
      <c r="S16" s="53">
        <f>186883.08</f>
        <v>186883.08</v>
      </c>
      <c r="T16" s="53"/>
      <c r="U16" s="53"/>
      <c r="V16" s="53"/>
      <c r="W16" s="54">
        <f>46616.92</f>
        <v>46616.92</v>
      </c>
      <c r="X16" s="54"/>
    </row>
    <row r="17" spans="1:24" s="1" customFormat="1" ht="24" customHeight="1">
      <c r="A17" s="26" t="s">
        <v>47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8" t="s">
        <v>37</v>
      </c>
      <c r="M17" s="28"/>
      <c r="N17" s="28" t="s">
        <v>48</v>
      </c>
      <c r="O17" s="28"/>
      <c r="P17" s="53">
        <f>6074</f>
        <v>6074</v>
      </c>
      <c r="Q17" s="53"/>
      <c r="R17" s="53"/>
      <c r="S17" s="53">
        <f>9583.08</f>
        <v>9583.08</v>
      </c>
      <c r="T17" s="53"/>
      <c r="U17" s="53"/>
      <c r="V17" s="53"/>
      <c r="W17" s="54">
        <f>-3509.08</f>
        <v>-3509.08</v>
      </c>
      <c r="X17" s="54"/>
    </row>
    <row r="18" spans="1:24" s="1" customFormat="1" ht="24" customHeight="1">
      <c r="A18" s="26" t="s">
        <v>49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8" t="s">
        <v>37</v>
      </c>
      <c r="M18" s="28"/>
      <c r="N18" s="28" t="s">
        <v>50</v>
      </c>
      <c r="O18" s="28"/>
      <c r="P18" s="53">
        <f>9626</f>
        <v>9626</v>
      </c>
      <c r="Q18" s="53"/>
      <c r="R18" s="53"/>
      <c r="S18" s="53">
        <f>34131.3</f>
        <v>34131.3</v>
      </c>
      <c r="T18" s="53"/>
      <c r="U18" s="53"/>
      <c r="V18" s="53"/>
      <c r="W18" s="54">
        <f>-24505.3</f>
        <v>-24505.3</v>
      </c>
      <c r="X18" s="54"/>
    </row>
    <row r="19" spans="1:24" s="1" customFormat="1" ht="45" customHeight="1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8" t="s">
        <v>37</v>
      </c>
      <c r="M19" s="28"/>
      <c r="N19" s="28" t="s">
        <v>52</v>
      </c>
      <c r="O19" s="28"/>
      <c r="P19" s="53">
        <f>80000</f>
        <v>80000</v>
      </c>
      <c r="Q19" s="53"/>
      <c r="R19" s="53"/>
      <c r="S19" s="53">
        <f>30590</f>
        <v>30590</v>
      </c>
      <c r="T19" s="53"/>
      <c r="U19" s="53"/>
      <c r="V19" s="53"/>
      <c r="W19" s="54">
        <f>49410</f>
        <v>49410</v>
      </c>
      <c r="X19" s="54"/>
    </row>
    <row r="20" spans="1:24" s="1" customFormat="1" ht="13.5" customHeight="1">
      <c r="A20" s="26" t="s">
        <v>53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8" t="s">
        <v>37</v>
      </c>
      <c r="M20" s="28"/>
      <c r="N20" s="28" t="s">
        <v>54</v>
      </c>
      <c r="O20" s="28"/>
      <c r="P20" s="53">
        <f>54000</f>
        <v>54000</v>
      </c>
      <c r="Q20" s="53"/>
      <c r="R20" s="53"/>
      <c r="S20" s="53">
        <f>7307.68</f>
        <v>7307.68</v>
      </c>
      <c r="T20" s="53"/>
      <c r="U20" s="53"/>
      <c r="V20" s="53"/>
      <c r="W20" s="54">
        <f>46692.32</f>
        <v>46692.32</v>
      </c>
      <c r="X20" s="54"/>
    </row>
    <row r="21" spans="1:24" s="1" customFormat="1" ht="24" customHeight="1">
      <c r="A21" s="26" t="s">
        <v>55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8" t="s">
        <v>37</v>
      </c>
      <c r="M21" s="28"/>
      <c r="N21" s="28" t="s">
        <v>56</v>
      </c>
      <c r="O21" s="28"/>
      <c r="P21" s="53">
        <f>18896100</f>
        <v>18896100</v>
      </c>
      <c r="Q21" s="53"/>
      <c r="R21" s="53"/>
      <c r="S21" s="53">
        <f>15116760</f>
        <v>15116760</v>
      </c>
      <c r="T21" s="53"/>
      <c r="U21" s="53"/>
      <c r="V21" s="53"/>
      <c r="W21" s="54">
        <f>3779340</f>
        <v>3779340</v>
      </c>
      <c r="X21" s="54"/>
    </row>
    <row r="22" spans="1:24" s="1" customFormat="1" ht="24" customHeight="1">
      <c r="A22" s="26" t="s">
        <v>57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8" t="s">
        <v>37</v>
      </c>
      <c r="M22" s="28"/>
      <c r="N22" s="28" t="s">
        <v>58</v>
      </c>
      <c r="O22" s="28"/>
      <c r="P22" s="53">
        <f>6316600</f>
        <v>6316600</v>
      </c>
      <c r="Q22" s="53"/>
      <c r="R22" s="53"/>
      <c r="S22" s="53">
        <f>4887439</f>
        <v>4887439</v>
      </c>
      <c r="T22" s="53"/>
      <c r="U22" s="53"/>
      <c r="V22" s="53"/>
      <c r="W22" s="54">
        <f>1429161</f>
        <v>1429161</v>
      </c>
      <c r="X22" s="54"/>
    </row>
    <row r="23" spans="1:24" s="1" customFormat="1" ht="24" customHeight="1">
      <c r="A23" s="26" t="s">
        <v>59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8" t="s">
        <v>37</v>
      </c>
      <c r="M23" s="28"/>
      <c r="N23" s="28" t="s">
        <v>60</v>
      </c>
      <c r="O23" s="28"/>
      <c r="P23" s="53">
        <f>27180</f>
        <v>27180</v>
      </c>
      <c r="Q23" s="53"/>
      <c r="R23" s="53"/>
      <c r="S23" s="53">
        <f>18347</f>
        <v>18347</v>
      </c>
      <c r="T23" s="53"/>
      <c r="U23" s="53"/>
      <c r="V23" s="53"/>
      <c r="W23" s="54">
        <f>8833</f>
        <v>8833</v>
      </c>
      <c r="X23" s="54"/>
    </row>
    <row r="24" spans="1:24" s="1" customFormat="1" ht="24" customHeight="1">
      <c r="A24" s="26" t="s">
        <v>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8" t="s">
        <v>37</v>
      </c>
      <c r="M24" s="28"/>
      <c r="N24" s="28" t="s">
        <v>62</v>
      </c>
      <c r="O24" s="28"/>
      <c r="P24" s="53">
        <f>360796</f>
        <v>360796</v>
      </c>
      <c r="Q24" s="53"/>
      <c r="R24" s="53"/>
      <c r="S24" s="53">
        <f>360796</f>
        <v>360796</v>
      </c>
      <c r="T24" s="53"/>
      <c r="U24" s="53"/>
      <c r="V24" s="53"/>
      <c r="W24" s="54">
        <f>0</f>
        <v>0</v>
      </c>
      <c r="X24" s="54"/>
    </row>
    <row r="25" spans="1:24" s="1" customFormat="1" ht="45" customHeight="1">
      <c r="A25" s="26" t="s">
        <v>63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8" t="s">
        <v>37</v>
      </c>
      <c r="M25" s="28"/>
      <c r="N25" s="28" t="s">
        <v>64</v>
      </c>
      <c r="O25" s="28"/>
      <c r="P25" s="53">
        <f>76200</f>
        <v>76200</v>
      </c>
      <c r="Q25" s="53"/>
      <c r="R25" s="53"/>
      <c r="S25" s="53">
        <f>57150</f>
        <v>57150</v>
      </c>
      <c r="T25" s="53"/>
      <c r="U25" s="53"/>
      <c r="V25" s="53"/>
      <c r="W25" s="54">
        <f>19050</f>
        <v>19050</v>
      </c>
      <c r="X25" s="54"/>
    </row>
    <row r="26" spans="1:24" s="1" customFormat="1" ht="24" customHeight="1">
      <c r="A26" s="26" t="s">
        <v>65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8" t="s">
        <v>37</v>
      </c>
      <c r="M26" s="28"/>
      <c r="N26" s="28" t="s">
        <v>66</v>
      </c>
      <c r="O26" s="28"/>
      <c r="P26" s="53">
        <f>36998853.98</f>
        <v>36998853.98</v>
      </c>
      <c r="Q26" s="53"/>
      <c r="R26" s="53"/>
      <c r="S26" s="53">
        <f>24967614.95</f>
        <v>24967614.95</v>
      </c>
      <c r="T26" s="53"/>
      <c r="U26" s="53"/>
      <c r="V26" s="53"/>
      <c r="W26" s="54">
        <f>12031239.03</f>
        <v>12031239.03</v>
      </c>
      <c r="X26" s="54"/>
    </row>
    <row r="27" spans="1:24" s="1" customFormat="1" ht="24" customHeight="1">
      <c r="A27" s="26" t="s">
        <v>67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8" t="s">
        <v>37</v>
      </c>
      <c r="M27" s="28"/>
      <c r="N27" s="28" t="s">
        <v>68</v>
      </c>
      <c r="O27" s="28"/>
      <c r="P27" s="53">
        <f>-62228.75</f>
        <v>-62228.75</v>
      </c>
      <c r="Q27" s="53"/>
      <c r="R27" s="53"/>
      <c r="S27" s="53">
        <f>-62228.75</f>
        <v>-62228.75</v>
      </c>
      <c r="T27" s="53"/>
      <c r="U27" s="53"/>
      <c r="V27" s="53"/>
      <c r="W27" s="54">
        <f>0</f>
        <v>0</v>
      </c>
      <c r="X27" s="54"/>
    </row>
    <row r="28" spans="1:24" s="1" customFormat="1" ht="13.5" customHeight="1">
      <c r="A28" s="52" t="s">
        <v>18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</row>
    <row r="29" spans="1:24" s="1" customFormat="1" ht="13.5" customHeight="1">
      <c r="A29" s="42" t="s">
        <v>69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0" spans="1:24" s="1" customFormat="1" ht="34.5" customHeight="1">
      <c r="A30" s="43" t="s">
        <v>24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 t="s">
        <v>25</v>
      </c>
      <c r="M30" s="43"/>
      <c r="N30" s="43" t="s">
        <v>70</v>
      </c>
      <c r="O30" s="43"/>
      <c r="P30" s="44" t="s">
        <v>27</v>
      </c>
      <c r="Q30" s="44"/>
      <c r="R30" s="44"/>
      <c r="S30" s="44" t="s">
        <v>28</v>
      </c>
      <c r="T30" s="44"/>
      <c r="U30" s="44"/>
      <c r="V30" s="44"/>
      <c r="W30" s="45" t="s">
        <v>29</v>
      </c>
      <c r="X30" s="45"/>
    </row>
    <row r="31" spans="1:24" s="1" customFormat="1" ht="13.5" customHeight="1">
      <c r="A31" s="39" t="s">
        <v>30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 t="s">
        <v>31</v>
      </c>
      <c r="M31" s="39"/>
      <c r="N31" s="39" t="s">
        <v>32</v>
      </c>
      <c r="O31" s="39"/>
      <c r="P31" s="40" t="s">
        <v>33</v>
      </c>
      <c r="Q31" s="40"/>
      <c r="R31" s="40"/>
      <c r="S31" s="40" t="s">
        <v>34</v>
      </c>
      <c r="T31" s="40"/>
      <c r="U31" s="40"/>
      <c r="V31" s="40"/>
      <c r="W31" s="41" t="s">
        <v>35</v>
      </c>
      <c r="X31" s="41"/>
    </row>
    <row r="32" spans="1:24" s="1" customFormat="1" ht="13.5" customHeight="1">
      <c r="A32" s="34" t="s">
        <v>71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5" t="s">
        <v>72</v>
      </c>
      <c r="M32" s="35"/>
      <c r="N32" s="35" t="s">
        <v>38</v>
      </c>
      <c r="O32" s="35"/>
      <c r="P32" s="37">
        <f>72028775.24</f>
        <v>72028775.24</v>
      </c>
      <c r="Q32" s="37"/>
      <c r="R32" s="37"/>
      <c r="S32" s="37">
        <f>48706931.91</f>
        <v>48706931.91</v>
      </c>
      <c r="T32" s="37"/>
      <c r="U32" s="37"/>
      <c r="V32" s="37"/>
      <c r="W32" s="51">
        <f>23321843.33</f>
        <v>23321843.33</v>
      </c>
      <c r="X32" s="51"/>
    </row>
    <row r="33" spans="1:24" s="1" customFormat="1" ht="13.5" customHeight="1">
      <c r="A33" s="13" t="s">
        <v>73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4" t="s">
        <v>72</v>
      </c>
      <c r="M33" s="14"/>
      <c r="N33" s="14" t="s">
        <v>74</v>
      </c>
      <c r="O33" s="14"/>
      <c r="P33" s="16">
        <f>1397520.96</f>
        <v>1397520.96</v>
      </c>
      <c r="Q33" s="16"/>
      <c r="R33" s="16"/>
      <c r="S33" s="16">
        <f>977496.72</f>
        <v>977496.72</v>
      </c>
      <c r="T33" s="16"/>
      <c r="U33" s="16"/>
      <c r="V33" s="16"/>
      <c r="W33" s="50">
        <f>420024.24</f>
        <v>420024.24</v>
      </c>
      <c r="X33" s="50"/>
    </row>
    <row r="34" spans="1:24" s="1" customFormat="1" ht="13.5" customHeight="1">
      <c r="A34" s="13" t="s">
        <v>75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4" t="s">
        <v>72</v>
      </c>
      <c r="M34" s="14"/>
      <c r="N34" s="14" t="s">
        <v>76</v>
      </c>
      <c r="O34" s="14"/>
      <c r="P34" s="16">
        <f>283374.1</f>
        <v>283374.1</v>
      </c>
      <c r="Q34" s="16"/>
      <c r="R34" s="16"/>
      <c r="S34" s="16">
        <f>253715.58</f>
        <v>253715.58</v>
      </c>
      <c r="T34" s="16"/>
      <c r="U34" s="16"/>
      <c r="V34" s="16"/>
      <c r="W34" s="50">
        <f>29658.52</f>
        <v>29658.52</v>
      </c>
      <c r="X34" s="50"/>
    </row>
    <row r="35" spans="1:24" s="1" customFormat="1" ht="13.5" customHeight="1">
      <c r="A35" s="13" t="s">
        <v>73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 t="s">
        <v>72</v>
      </c>
      <c r="M35" s="14"/>
      <c r="N35" s="14" t="s">
        <v>77</v>
      </c>
      <c r="O35" s="14"/>
      <c r="P35" s="16">
        <f>9166079.09</f>
        <v>9166079.09</v>
      </c>
      <c r="Q35" s="16"/>
      <c r="R35" s="16"/>
      <c r="S35" s="16">
        <f>6149705.48</f>
        <v>6149705.48</v>
      </c>
      <c r="T35" s="16"/>
      <c r="U35" s="16"/>
      <c r="V35" s="16"/>
      <c r="W35" s="50">
        <f>3016373.61</f>
        <v>3016373.61</v>
      </c>
      <c r="X35" s="50"/>
    </row>
    <row r="36" spans="1:24" s="1" customFormat="1" ht="13.5" customHeight="1">
      <c r="A36" s="13" t="s">
        <v>75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4" t="s">
        <v>72</v>
      </c>
      <c r="M36" s="14"/>
      <c r="N36" s="14" t="s">
        <v>78</v>
      </c>
      <c r="O36" s="14"/>
      <c r="P36" s="16">
        <f>2514844.08</f>
        <v>2514844.08</v>
      </c>
      <c r="Q36" s="16"/>
      <c r="R36" s="16"/>
      <c r="S36" s="16">
        <f>1973226.5</f>
        <v>1973226.5</v>
      </c>
      <c r="T36" s="16"/>
      <c r="U36" s="16"/>
      <c r="V36" s="16"/>
      <c r="W36" s="50">
        <f>541617.58</f>
        <v>541617.58</v>
      </c>
      <c r="X36" s="50"/>
    </row>
    <row r="37" spans="1:24" s="1" customFormat="1" ht="13.5" customHeight="1">
      <c r="A37" s="13" t="s">
        <v>79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 t="s">
        <v>72</v>
      </c>
      <c r="M37" s="14"/>
      <c r="N37" s="14" t="s">
        <v>80</v>
      </c>
      <c r="O37" s="14"/>
      <c r="P37" s="16">
        <f>6000</f>
        <v>6000</v>
      </c>
      <c r="Q37" s="16"/>
      <c r="R37" s="16"/>
      <c r="S37" s="16">
        <f>2000</f>
        <v>2000</v>
      </c>
      <c r="T37" s="16"/>
      <c r="U37" s="16"/>
      <c r="V37" s="16"/>
      <c r="W37" s="50">
        <f>4000</f>
        <v>4000</v>
      </c>
      <c r="X37" s="50"/>
    </row>
    <row r="38" spans="1:24" s="1" customFormat="1" ht="13.5" customHeight="1">
      <c r="A38" s="13" t="s">
        <v>81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4" t="s">
        <v>72</v>
      </c>
      <c r="M38" s="14"/>
      <c r="N38" s="14" t="s">
        <v>82</v>
      </c>
      <c r="O38" s="14"/>
      <c r="P38" s="16">
        <f>2000</f>
        <v>2000</v>
      </c>
      <c r="Q38" s="16"/>
      <c r="R38" s="16"/>
      <c r="S38" s="16">
        <f>698</f>
        <v>698</v>
      </c>
      <c r="T38" s="16"/>
      <c r="U38" s="16"/>
      <c r="V38" s="16"/>
      <c r="W38" s="50">
        <f>1302</f>
        <v>1302</v>
      </c>
      <c r="X38" s="50"/>
    </row>
    <row r="39" spans="1:24" s="1" customFormat="1" ht="13.5" customHeight="1">
      <c r="A39" s="13" t="s">
        <v>83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4" t="s">
        <v>72</v>
      </c>
      <c r="M39" s="14"/>
      <c r="N39" s="14" t="s">
        <v>84</v>
      </c>
      <c r="O39" s="14"/>
      <c r="P39" s="16">
        <f>7000</f>
        <v>7000</v>
      </c>
      <c r="Q39" s="16"/>
      <c r="R39" s="16"/>
      <c r="S39" s="16">
        <f>180</f>
        <v>180</v>
      </c>
      <c r="T39" s="16"/>
      <c r="U39" s="16"/>
      <c r="V39" s="16"/>
      <c r="W39" s="50">
        <f>6820</f>
        <v>6820</v>
      </c>
      <c r="X39" s="50"/>
    </row>
    <row r="40" spans="1:24" s="1" customFormat="1" ht="13.5" customHeight="1">
      <c r="A40" s="13" t="s">
        <v>85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4" t="s">
        <v>72</v>
      </c>
      <c r="M40" s="14"/>
      <c r="N40" s="14" t="s">
        <v>86</v>
      </c>
      <c r="O40" s="14"/>
      <c r="P40" s="16">
        <f>9000</f>
        <v>9000</v>
      </c>
      <c r="Q40" s="16"/>
      <c r="R40" s="16"/>
      <c r="S40" s="16">
        <f>3543.17</f>
        <v>3543.17</v>
      </c>
      <c r="T40" s="16"/>
      <c r="U40" s="16"/>
      <c r="V40" s="16"/>
      <c r="W40" s="50">
        <f>5456.83</f>
        <v>5456.83</v>
      </c>
      <c r="X40" s="50"/>
    </row>
    <row r="41" spans="1:24" s="1" customFormat="1" ht="13.5" customHeight="1">
      <c r="A41" s="13" t="s">
        <v>83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4" t="s">
        <v>72</v>
      </c>
      <c r="M41" s="14"/>
      <c r="N41" s="14" t="s">
        <v>87</v>
      </c>
      <c r="O41" s="14"/>
      <c r="P41" s="16">
        <f>115400</f>
        <v>115400</v>
      </c>
      <c r="Q41" s="16"/>
      <c r="R41" s="16"/>
      <c r="S41" s="16">
        <f>89025</f>
        <v>89025</v>
      </c>
      <c r="T41" s="16"/>
      <c r="U41" s="16"/>
      <c r="V41" s="16"/>
      <c r="W41" s="50">
        <f>26375</f>
        <v>26375</v>
      </c>
      <c r="X41" s="50"/>
    </row>
    <row r="42" spans="1:24" s="1" customFormat="1" ht="13.5" customHeight="1">
      <c r="A42" s="13" t="s">
        <v>88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4" t="s">
        <v>72</v>
      </c>
      <c r="M42" s="14"/>
      <c r="N42" s="14" t="s">
        <v>89</v>
      </c>
      <c r="O42" s="14"/>
      <c r="P42" s="16">
        <f>240000</f>
        <v>240000</v>
      </c>
      <c r="Q42" s="16"/>
      <c r="R42" s="16"/>
      <c r="S42" s="16">
        <f>77000</f>
        <v>77000</v>
      </c>
      <c r="T42" s="16"/>
      <c r="U42" s="16"/>
      <c r="V42" s="16"/>
      <c r="W42" s="50">
        <f>163000</f>
        <v>163000</v>
      </c>
      <c r="X42" s="50"/>
    </row>
    <row r="43" spans="1:24" s="1" customFormat="1" ht="13.5" customHeight="1">
      <c r="A43" s="13" t="s">
        <v>90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4" t="s">
        <v>72</v>
      </c>
      <c r="M43" s="14"/>
      <c r="N43" s="14" t="s">
        <v>91</v>
      </c>
      <c r="O43" s="14"/>
      <c r="P43" s="16">
        <f>4400</f>
        <v>4400</v>
      </c>
      <c r="Q43" s="16"/>
      <c r="R43" s="16"/>
      <c r="S43" s="16">
        <f>4400</f>
        <v>4400</v>
      </c>
      <c r="T43" s="16"/>
      <c r="U43" s="16"/>
      <c r="V43" s="16"/>
      <c r="W43" s="50">
        <f>0</f>
        <v>0</v>
      </c>
      <c r="X43" s="50"/>
    </row>
    <row r="44" spans="1:24" s="1" customFormat="1" ht="13.5" customHeight="1">
      <c r="A44" s="13" t="s">
        <v>92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4" t="s">
        <v>72</v>
      </c>
      <c r="M44" s="14"/>
      <c r="N44" s="14" t="s">
        <v>93</v>
      </c>
      <c r="O44" s="14"/>
      <c r="P44" s="16">
        <f>44540.24</f>
        <v>44540.24</v>
      </c>
      <c r="Q44" s="16"/>
      <c r="R44" s="16"/>
      <c r="S44" s="16">
        <f>40126</f>
        <v>40126</v>
      </c>
      <c r="T44" s="16"/>
      <c r="U44" s="16"/>
      <c r="V44" s="16"/>
      <c r="W44" s="50">
        <f>4414.24</f>
        <v>4414.24</v>
      </c>
      <c r="X44" s="50"/>
    </row>
    <row r="45" spans="1:24" s="1" customFormat="1" ht="13.5" customHeight="1">
      <c r="A45" s="13" t="s">
        <v>88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4" t="s">
        <v>72</v>
      </c>
      <c r="M45" s="14"/>
      <c r="N45" s="14" t="s">
        <v>94</v>
      </c>
      <c r="O45" s="14"/>
      <c r="P45" s="16">
        <f>2000</f>
        <v>2000</v>
      </c>
      <c r="Q45" s="16"/>
      <c r="R45" s="16"/>
      <c r="S45" s="20" t="s">
        <v>95</v>
      </c>
      <c r="T45" s="20"/>
      <c r="U45" s="20"/>
      <c r="V45" s="20"/>
      <c r="W45" s="50">
        <f>2000</f>
        <v>2000</v>
      </c>
      <c r="X45" s="50"/>
    </row>
    <row r="46" spans="1:24" s="1" customFormat="1" ht="13.5" customHeight="1">
      <c r="A46" s="13" t="s">
        <v>88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4" t="s">
        <v>72</v>
      </c>
      <c r="M46" s="14"/>
      <c r="N46" s="14" t="s">
        <v>96</v>
      </c>
      <c r="O46" s="14"/>
      <c r="P46" s="16">
        <f>25000</f>
        <v>25000</v>
      </c>
      <c r="Q46" s="16"/>
      <c r="R46" s="16"/>
      <c r="S46" s="16">
        <f>22189.74</f>
        <v>22189.74</v>
      </c>
      <c r="T46" s="16"/>
      <c r="U46" s="16"/>
      <c r="V46" s="16"/>
      <c r="W46" s="50">
        <f>2810.26</f>
        <v>2810.26</v>
      </c>
      <c r="X46" s="50"/>
    </row>
    <row r="47" spans="1:24" s="1" customFormat="1" ht="13.5" customHeight="1">
      <c r="A47" s="13" t="s">
        <v>88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4" t="s">
        <v>72</v>
      </c>
      <c r="M47" s="14"/>
      <c r="N47" s="14" t="s">
        <v>97</v>
      </c>
      <c r="O47" s="14"/>
      <c r="P47" s="16">
        <f>119653.3</f>
        <v>119653.3</v>
      </c>
      <c r="Q47" s="16"/>
      <c r="R47" s="16"/>
      <c r="S47" s="20" t="s">
        <v>95</v>
      </c>
      <c r="T47" s="20"/>
      <c r="U47" s="20"/>
      <c r="V47" s="20"/>
      <c r="W47" s="50">
        <f>119653.3</f>
        <v>119653.3</v>
      </c>
      <c r="X47" s="50"/>
    </row>
    <row r="48" spans="1:24" s="1" customFormat="1" ht="13.5" customHeight="1">
      <c r="A48" s="13" t="s">
        <v>88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4" t="s">
        <v>72</v>
      </c>
      <c r="M48" s="14"/>
      <c r="N48" s="14" t="s">
        <v>98</v>
      </c>
      <c r="O48" s="14"/>
      <c r="P48" s="16">
        <f>27730</f>
        <v>27730</v>
      </c>
      <c r="Q48" s="16"/>
      <c r="R48" s="16"/>
      <c r="S48" s="16">
        <f>27730</f>
        <v>27730</v>
      </c>
      <c r="T48" s="16"/>
      <c r="U48" s="16"/>
      <c r="V48" s="16"/>
      <c r="W48" s="50">
        <f>0</f>
        <v>0</v>
      </c>
      <c r="X48" s="50"/>
    </row>
    <row r="49" spans="1:24" s="1" customFormat="1" ht="13.5" customHeight="1">
      <c r="A49" s="13" t="s">
        <v>90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4" t="s">
        <v>72</v>
      </c>
      <c r="M49" s="14"/>
      <c r="N49" s="14" t="s">
        <v>99</v>
      </c>
      <c r="O49" s="14"/>
      <c r="P49" s="16">
        <f>29082</f>
        <v>29082</v>
      </c>
      <c r="Q49" s="16"/>
      <c r="R49" s="16"/>
      <c r="S49" s="16">
        <f>29082</f>
        <v>29082</v>
      </c>
      <c r="T49" s="16"/>
      <c r="U49" s="16"/>
      <c r="V49" s="16"/>
      <c r="W49" s="50">
        <f>0</f>
        <v>0</v>
      </c>
      <c r="X49" s="50"/>
    </row>
    <row r="50" spans="1:24" s="1" customFormat="1" ht="13.5" customHeight="1">
      <c r="A50" s="13" t="s">
        <v>92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4" t="s">
        <v>72</v>
      </c>
      <c r="M50" s="14"/>
      <c r="N50" s="14" t="s">
        <v>100</v>
      </c>
      <c r="O50" s="14"/>
      <c r="P50" s="16">
        <f>48188</f>
        <v>48188</v>
      </c>
      <c r="Q50" s="16"/>
      <c r="R50" s="16"/>
      <c r="S50" s="16">
        <f>43188</f>
        <v>43188</v>
      </c>
      <c r="T50" s="16"/>
      <c r="U50" s="16"/>
      <c r="V50" s="16"/>
      <c r="W50" s="50">
        <f>5000</f>
        <v>5000</v>
      </c>
      <c r="X50" s="50"/>
    </row>
    <row r="51" spans="1:24" s="1" customFormat="1" ht="13.5" customHeight="1">
      <c r="A51" s="13" t="s">
        <v>88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4" t="s">
        <v>72</v>
      </c>
      <c r="M51" s="14"/>
      <c r="N51" s="14" t="s">
        <v>101</v>
      </c>
      <c r="O51" s="14"/>
      <c r="P51" s="16">
        <f>2407.7</f>
        <v>2407.7</v>
      </c>
      <c r="Q51" s="16"/>
      <c r="R51" s="16"/>
      <c r="S51" s="16">
        <f>2407.7</f>
        <v>2407.7</v>
      </c>
      <c r="T51" s="16"/>
      <c r="U51" s="16"/>
      <c r="V51" s="16"/>
      <c r="W51" s="50">
        <f>0</f>
        <v>0</v>
      </c>
      <c r="X51" s="50"/>
    </row>
    <row r="52" spans="1:24" s="1" customFormat="1" ht="13.5" customHeight="1">
      <c r="A52" s="13" t="s">
        <v>88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4" t="s">
        <v>72</v>
      </c>
      <c r="M52" s="14"/>
      <c r="N52" s="14" t="s">
        <v>102</v>
      </c>
      <c r="O52" s="14"/>
      <c r="P52" s="16">
        <f>300000</f>
        <v>300000</v>
      </c>
      <c r="Q52" s="16"/>
      <c r="R52" s="16"/>
      <c r="S52" s="16">
        <f>300000</f>
        <v>300000</v>
      </c>
      <c r="T52" s="16"/>
      <c r="U52" s="16"/>
      <c r="V52" s="16"/>
      <c r="W52" s="50">
        <f>0</f>
        <v>0</v>
      </c>
      <c r="X52" s="50"/>
    </row>
    <row r="53" spans="1:24" s="1" customFormat="1" ht="13.5" customHeight="1">
      <c r="A53" s="13" t="s">
        <v>79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 t="s">
        <v>72</v>
      </c>
      <c r="M53" s="14"/>
      <c r="N53" s="14" t="s">
        <v>103</v>
      </c>
      <c r="O53" s="14"/>
      <c r="P53" s="16">
        <f>950181.21</f>
        <v>950181.21</v>
      </c>
      <c r="Q53" s="16"/>
      <c r="R53" s="16"/>
      <c r="S53" s="16">
        <f>828266.3</f>
        <v>828266.3</v>
      </c>
      <c r="T53" s="16"/>
      <c r="U53" s="16"/>
      <c r="V53" s="16"/>
      <c r="W53" s="50">
        <f>121914.91</f>
        <v>121914.91</v>
      </c>
      <c r="X53" s="50"/>
    </row>
    <row r="54" spans="1:24" s="1" customFormat="1" ht="13.5" customHeight="1">
      <c r="A54" s="13" t="s">
        <v>81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4" t="s">
        <v>72</v>
      </c>
      <c r="M54" s="14"/>
      <c r="N54" s="14" t="s">
        <v>104</v>
      </c>
      <c r="O54" s="14"/>
      <c r="P54" s="16">
        <f>72000</f>
        <v>72000</v>
      </c>
      <c r="Q54" s="16"/>
      <c r="R54" s="16"/>
      <c r="S54" s="16">
        <f>54000</f>
        <v>54000</v>
      </c>
      <c r="T54" s="16"/>
      <c r="U54" s="16"/>
      <c r="V54" s="16"/>
      <c r="W54" s="50">
        <f>18000</f>
        <v>18000</v>
      </c>
      <c r="X54" s="50"/>
    </row>
    <row r="55" spans="1:24" s="1" customFormat="1" ht="13.5" customHeight="1">
      <c r="A55" s="13" t="s">
        <v>105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4" t="s">
        <v>72</v>
      </c>
      <c r="M55" s="14"/>
      <c r="N55" s="14" t="s">
        <v>106</v>
      </c>
      <c r="O55" s="14"/>
      <c r="P55" s="16">
        <f>269616.7</f>
        <v>269616.7</v>
      </c>
      <c r="Q55" s="16"/>
      <c r="R55" s="16"/>
      <c r="S55" s="16">
        <f>166497.94</f>
        <v>166497.94</v>
      </c>
      <c r="T55" s="16"/>
      <c r="U55" s="16"/>
      <c r="V55" s="16"/>
      <c r="W55" s="50">
        <f>103118.76</f>
        <v>103118.76</v>
      </c>
      <c r="X55" s="50"/>
    </row>
    <row r="56" spans="1:24" s="1" customFormat="1" ht="13.5" customHeight="1">
      <c r="A56" s="13" t="s">
        <v>107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4" t="s">
        <v>72</v>
      </c>
      <c r="M56" s="14"/>
      <c r="N56" s="14" t="s">
        <v>108</v>
      </c>
      <c r="O56" s="14"/>
      <c r="P56" s="16">
        <f>259462.14</f>
        <v>259462.14</v>
      </c>
      <c r="Q56" s="16"/>
      <c r="R56" s="16"/>
      <c r="S56" s="16">
        <f>143838.98</f>
        <v>143838.98</v>
      </c>
      <c r="T56" s="16"/>
      <c r="U56" s="16"/>
      <c r="V56" s="16"/>
      <c r="W56" s="50">
        <f>115623.16</f>
        <v>115623.16</v>
      </c>
      <c r="X56" s="50"/>
    </row>
    <row r="57" spans="1:24" s="1" customFormat="1" ht="13.5" customHeight="1">
      <c r="A57" s="13" t="s">
        <v>83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4" t="s">
        <v>72</v>
      </c>
      <c r="M57" s="14"/>
      <c r="N57" s="14" t="s">
        <v>109</v>
      </c>
      <c r="O57" s="14"/>
      <c r="P57" s="16">
        <f>41312.71</f>
        <v>41312.71</v>
      </c>
      <c r="Q57" s="16"/>
      <c r="R57" s="16"/>
      <c r="S57" s="16">
        <f>26899.17</f>
        <v>26899.17</v>
      </c>
      <c r="T57" s="16"/>
      <c r="U57" s="16"/>
      <c r="V57" s="16"/>
      <c r="W57" s="50">
        <f>14413.54</f>
        <v>14413.54</v>
      </c>
      <c r="X57" s="50"/>
    </row>
    <row r="58" spans="1:24" s="1" customFormat="1" ht="13.5" customHeight="1">
      <c r="A58" s="13" t="s">
        <v>92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4" t="s">
        <v>72</v>
      </c>
      <c r="M58" s="14"/>
      <c r="N58" s="14" t="s">
        <v>110</v>
      </c>
      <c r="O58" s="14"/>
      <c r="P58" s="16">
        <f>837114.47</f>
        <v>837114.47</v>
      </c>
      <c r="Q58" s="16"/>
      <c r="R58" s="16"/>
      <c r="S58" s="16">
        <f>382463.05</f>
        <v>382463.05</v>
      </c>
      <c r="T58" s="16"/>
      <c r="U58" s="16"/>
      <c r="V58" s="16"/>
      <c r="W58" s="50">
        <f>454651.42</f>
        <v>454651.42</v>
      </c>
      <c r="X58" s="50"/>
    </row>
    <row r="59" spans="1:24" s="1" customFormat="1" ht="13.5" customHeight="1">
      <c r="A59" s="13" t="s">
        <v>88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4" t="s">
        <v>72</v>
      </c>
      <c r="M59" s="14"/>
      <c r="N59" s="14" t="s">
        <v>111</v>
      </c>
      <c r="O59" s="14"/>
      <c r="P59" s="16">
        <f>70040</f>
        <v>70040</v>
      </c>
      <c r="Q59" s="16"/>
      <c r="R59" s="16"/>
      <c r="S59" s="16">
        <f>31946</f>
        <v>31946</v>
      </c>
      <c r="T59" s="16"/>
      <c r="U59" s="16"/>
      <c r="V59" s="16"/>
      <c r="W59" s="50">
        <f>38094</f>
        <v>38094</v>
      </c>
      <c r="X59" s="50"/>
    </row>
    <row r="60" spans="1:24" s="1" customFormat="1" ht="13.5" customHeight="1">
      <c r="A60" s="13" t="s">
        <v>88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4" t="s">
        <v>72</v>
      </c>
      <c r="M60" s="14"/>
      <c r="N60" s="14" t="s">
        <v>112</v>
      </c>
      <c r="O60" s="14"/>
      <c r="P60" s="16">
        <f>23878</f>
        <v>23878</v>
      </c>
      <c r="Q60" s="16"/>
      <c r="R60" s="16"/>
      <c r="S60" s="16">
        <f>11939</f>
        <v>11939</v>
      </c>
      <c r="T60" s="16"/>
      <c r="U60" s="16"/>
      <c r="V60" s="16"/>
      <c r="W60" s="50">
        <f>11939</f>
        <v>11939</v>
      </c>
      <c r="X60" s="50"/>
    </row>
    <row r="61" spans="1:24" s="1" customFormat="1" ht="13.5" customHeight="1">
      <c r="A61" s="13" t="s">
        <v>88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4" t="s">
        <v>72</v>
      </c>
      <c r="M61" s="14"/>
      <c r="N61" s="14" t="s">
        <v>113</v>
      </c>
      <c r="O61" s="14"/>
      <c r="P61" s="16">
        <f>15000</f>
        <v>15000</v>
      </c>
      <c r="Q61" s="16"/>
      <c r="R61" s="16"/>
      <c r="S61" s="16">
        <f>15000</f>
        <v>15000</v>
      </c>
      <c r="T61" s="16"/>
      <c r="U61" s="16"/>
      <c r="V61" s="16"/>
      <c r="W61" s="50">
        <f>0</f>
        <v>0</v>
      </c>
      <c r="X61" s="50"/>
    </row>
    <row r="62" spans="1:24" s="1" customFormat="1" ht="13.5" customHeight="1">
      <c r="A62" s="13" t="s">
        <v>81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4" t="s">
        <v>72</v>
      </c>
      <c r="M62" s="14"/>
      <c r="N62" s="14" t="s">
        <v>114</v>
      </c>
      <c r="O62" s="14"/>
      <c r="P62" s="16">
        <f>54000</f>
        <v>54000</v>
      </c>
      <c r="Q62" s="16"/>
      <c r="R62" s="16"/>
      <c r="S62" s="16">
        <f>36000</f>
        <v>36000</v>
      </c>
      <c r="T62" s="16"/>
      <c r="U62" s="16"/>
      <c r="V62" s="16"/>
      <c r="W62" s="50">
        <f>18000</f>
        <v>18000</v>
      </c>
      <c r="X62" s="50"/>
    </row>
    <row r="63" spans="1:24" s="1" customFormat="1" ht="13.5" customHeight="1">
      <c r="A63" s="13" t="s">
        <v>73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4" t="s">
        <v>72</v>
      </c>
      <c r="M63" s="14"/>
      <c r="N63" s="14" t="s">
        <v>115</v>
      </c>
      <c r="O63" s="14"/>
      <c r="P63" s="16">
        <f>298310.29</f>
        <v>298310.29</v>
      </c>
      <c r="Q63" s="16"/>
      <c r="R63" s="16"/>
      <c r="S63" s="16">
        <f>145098.3</f>
        <v>145098.3</v>
      </c>
      <c r="T63" s="16"/>
      <c r="U63" s="16"/>
      <c r="V63" s="16"/>
      <c r="W63" s="50">
        <f>153211.99</f>
        <v>153211.99</v>
      </c>
      <c r="X63" s="50"/>
    </row>
    <row r="64" spans="1:24" s="1" customFormat="1" ht="13.5" customHeight="1">
      <c r="A64" s="13" t="s">
        <v>75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4" t="s">
        <v>72</v>
      </c>
      <c r="M64" s="14"/>
      <c r="N64" s="14" t="s">
        <v>116</v>
      </c>
      <c r="O64" s="14"/>
      <c r="P64" s="16">
        <f>62485.71</f>
        <v>62485.71</v>
      </c>
      <c r="Q64" s="16"/>
      <c r="R64" s="16"/>
      <c r="S64" s="16">
        <f>43819.69</f>
        <v>43819.69</v>
      </c>
      <c r="T64" s="16"/>
      <c r="U64" s="16"/>
      <c r="V64" s="16"/>
      <c r="W64" s="50">
        <f>18666.02</f>
        <v>18666.02</v>
      </c>
      <c r="X64" s="50"/>
    </row>
    <row r="65" spans="1:24" s="1" customFormat="1" ht="13.5" customHeight="1">
      <c r="A65" s="13" t="s">
        <v>73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4" t="s">
        <v>72</v>
      </c>
      <c r="M65" s="14"/>
      <c r="N65" s="14" t="s">
        <v>117</v>
      </c>
      <c r="O65" s="14"/>
      <c r="P65" s="16">
        <f>20875.56</f>
        <v>20875.56</v>
      </c>
      <c r="Q65" s="16"/>
      <c r="R65" s="16"/>
      <c r="S65" s="16">
        <f>13920</f>
        <v>13920</v>
      </c>
      <c r="T65" s="16"/>
      <c r="U65" s="16"/>
      <c r="V65" s="16"/>
      <c r="W65" s="50">
        <f>6955.56</f>
        <v>6955.56</v>
      </c>
      <c r="X65" s="50"/>
    </row>
    <row r="66" spans="1:24" s="1" customFormat="1" ht="13.5" customHeight="1">
      <c r="A66" s="13" t="s">
        <v>75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4" t="s">
        <v>72</v>
      </c>
      <c r="M66" s="14"/>
      <c r="N66" s="14" t="s">
        <v>118</v>
      </c>
      <c r="O66" s="14"/>
      <c r="P66" s="16">
        <f>6304.44</f>
        <v>6304.44</v>
      </c>
      <c r="Q66" s="16"/>
      <c r="R66" s="16"/>
      <c r="S66" s="16">
        <f>3772.33</f>
        <v>3772.33</v>
      </c>
      <c r="T66" s="16"/>
      <c r="U66" s="16"/>
      <c r="V66" s="16"/>
      <c r="W66" s="50">
        <f>2532.11</f>
        <v>2532.11</v>
      </c>
      <c r="X66" s="50"/>
    </row>
    <row r="67" spans="1:24" s="1" customFormat="1" ht="13.5" customHeight="1">
      <c r="A67" s="13" t="s">
        <v>92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4" t="s">
        <v>72</v>
      </c>
      <c r="M67" s="14"/>
      <c r="N67" s="14" t="s">
        <v>119</v>
      </c>
      <c r="O67" s="14"/>
      <c r="P67" s="16">
        <f>7000</f>
        <v>7000</v>
      </c>
      <c r="Q67" s="16"/>
      <c r="R67" s="16"/>
      <c r="S67" s="16">
        <f>7000</f>
        <v>7000</v>
      </c>
      <c r="T67" s="16"/>
      <c r="U67" s="16"/>
      <c r="V67" s="16"/>
      <c r="W67" s="50">
        <f>0</f>
        <v>0</v>
      </c>
      <c r="X67" s="50"/>
    </row>
    <row r="68" spans="1:24" s="1" customFormat="1" ht="13.5" customHeight="1">
      <c r="A68" s="13" t="s">
        <v>107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4" t="s">
        <v>72</v>
      </c>
      <c r="M68" s="14"/>
      <c r="N68" s="14" t="s">
        <v>120</v>
      </c>
      <c r="O68" s="14"/>
      <c r="P68" s="16">
        <f>212000</f>
        <v>212000</v>
      </c>
      <c r="Q68" s="16"/>
      <c r="R68" s="16"/>
      <c r="S68" s="20" t="s">
        <v>95</v>
      </c>
      <c r="T68" s="20"/>
      <c r="U68" s="20"/>
      <c r="V68" s="20"/>
      <c r="W68" s="50">
        <f>212000</f>
        <v>212000</v>
      </c>
      <c r="X68" s="50"/>
    </row>
    <row r="69" spans="1:24" s="1" customFormat="1" ht="13.5" customHeight="1">
      <c r="A69" s="13" t="s">
        <v>83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4" t="s">
        <v>72</v>
      </c>
      <c r="M69" s="14"/>
      <c r="N69" s="14" t="s">
        <v>121</v>
      </c>
      <c r="O69" s="14"/>
      <c r="P69" s="16">
        <f>549500</f>
        <v>549500</v>
      </c>
      <c r="Q69" s="16"/>
      <c r="R69" s="16"/>
      <c r="S69" s="16">
        <f>0</f>
        <v>0</v>
      </c>
      <c r="T69" s="16"/>
      <c r="U69" s="16"/>
      <c r="V69" s="16"/>
      <c r="W69" s="50">
        <f>549500</f>
        <v>549500</v>
      </c>
      <c r="X69" s="50"/>
    </row>
    <row r="70" spans="1:24" s="1" customFormat="1" ht="13.5" customHeight="1">
      <c r="A70" s="13" t="s">
        <v>92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4" t="s">
        <v>72</v>
      </c>
      <c r="M70" s="14"/>
      <c r="N70" s="14" t="s">
        <v>122</v>
      </c>
      <c r="O70" s="14"/>
      <c r="P70" s="16">
        <f>30000</f>
        <v>30000</v>
      </c>
      <c r="Q70" s="16"/>
      <c r="R70" s="16"/>
      <c r="S70" s="20" t="s">
        <v>95</v>
      </c>
      <c r="T70" s="20"/>
      <c r="U70" s="20"/>
      <c r="V70" s="20"/>
      <c r="W70" s="50">
        <f>30000</f>
        <v>30000</v>
      </c>
      <c r="X70" s="50"/>
    </row>
    <row r="71" spans="1:24" s="1" customFormat="1" ht="13.5" customHeight="1">
      <c r="A71" s="13" t="s">
        <v>83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4" t="s">
        <v>72</v>
      </c>
      <c r="M71" s="14"/>
      <c r="N71" s="14" t="s">
        <v>123</v>
      </c>
      <c r="O71" s="14"/>
      <c r="P71" s="16">
        <f>5823</f>
        <v>5823</v>
      </c>
      <c r="Q71" s="16"/>
      <c r="R71" s="16"/>
      <c r="S71" s="16">
        <f>5823</f>
        <v>5823</v>
      </c>
      <c r="T71" s="16"/>
      <c r="U71" s="16"/>
      <c r="V71" s="16"/>
      <c r="W71" s="50">
        <f>0</f>
        <v>0</v>
      </c>
      <c r="X71" s="50"/>
    </row>
    <row r="72" spans="1:24" s="1" customFormat="1" ht="13.5" customHeight="1">
      <c r="A72" s="13" t="s">
        <v>83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 t="s">
        <v>72</v>
      </c>
      <c r="M72" s="14"/>
      <c r="N72" s="14" t="s">
        <v>124</v>
      </c>
      <c r="O72" s="14"/>
      <c r="P72" s="16">
        <f>13590</f>
        <v>13590</v>
      </c>
      <c r="Q72" s="16"/>
      <c r="R72" s="16"/>
      <c r="S72" s="16">
        <f>13590</f>
        <v>13590</v>
      </c>
      <c r="T72" s="16"/>
      <c r="U72" s="16"/>
      <c r="V72" s="16"/>
      <c r="W72" s="50">
        <f>0</f>
        <v>0</v>
      </c>
      <c r="X72" s="50"/>
    </row>
    <row r="73" spans="1:24" s="1" customFormat="1" ht="13.5" customHeight="1">
      <c r="A73" s="13" t="s">
        <v>73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4" t="s">
        <v>72</v>
      </c>
      <c r="M73" s="14"/>
      <c r="N73" s="14" t="s">
        <v>125</v>
      </c>
      <c r="O73" s="14"/>
      <c r="P73" s="16">
        <f>61094.47</f>
        <v>61094.47</v>
      </c>
      <c r="Q73" s="16"/>
      <c r="R73" s="16"/>
      <c r="S73" s="16">
        <f>18328.34</f>
        <v>18328.34</v>
      </c>
      <c r="T73" s="16"/>
      <c r="U73" s="16"/>
      <c r="V73" s="16"/>
      <c r="W73" s="50">
        <f>42766.13</f>
        <v>42766.13</v>
      </c>
      <c r="X73" s="50"/>
    </row>
    <row r="74" spans="1:24" s="1" customFormat="1" ht="13.5" customHeight="1">
      <c r="A74" s="13" t="s">
        <v>75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4" t="s">
        <v>72</v>
      </c>
      <c r="M74" s="14"/>
      <c r="N74" s="14" t="s">
        <v>126</v>
      </c>
      <c r="O74" s="14"/>
      <c r="P74" s="16">
        <f>18450.53</f>
        <v>18450.53</v>
      </c>
      <c r="Q74" s="16"/>
      <c r="R74" s="16"/>
      <c r="S74" s="16">
        <f>5535.16</f>
        <v>5535.16</v>
      </c>
      <c r="T74" s="16"/>
      <c r="U74" s="16"/>
      <c r="V74" s="16"/>
      <c r="W74" s="50">
        <f>12915.37</f>
        <v>12915.37</v>
      </c>
      <c r="X74" s="50"/>
    </row>
    <row r="75" spans="1:24" s="1" customFormat="1" ht="13.5" customHeight="1">
      <c r="A75" s="13" t="s">
        <v>107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4" t="s">
        <v>72</v>
      </c>
      <c r="M75" s="14"/>
      <c r="N75" s="14" t="s">
        <v>127</v>
      </c>
      <c r="O75" s="14"/>
      <c r="P75" s="16">
        <f>2285056.49</f>
        <v>2285056.49</v>
      </c>
      <c r="Q75" s="16"/>
      <c r="R75" s="16"/>
      <c r="S75" s="16">
        <f>1312279.92</f>
        <v>1312279.92</v>
      </c>
      <c r="T75" s="16"/>
      <c r="U75" s="16"/>
      <c r="V75" s="16"/>
      <c r="W75" s="50">
        <f>972776.57</f>
        <v>972776.57</v>
      </c>
      <c r="X75" s="50"/>
    </row>
    <row r="76" spans="1:24" s="1" customFormat="1" ht="13.5" customHeight="1">
      <c r="A76" s="13" t="s">
        <v>83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4" t="s">
        <v>72</v>
      </c>
      <c r="M76" s="14"/>
      <c r="N76" s="14" t="s">
        <v>128</v>
      </c>
      <c r="O76" s="14"/>
      <c r="P76" s="16">
        <f>8000</f>
        <v>8000</v>
      </c>
      <c r="Q76" s="16"/>
      <c r="R76" s="16"/>
      <c r="S76" s="16">
        <f>8000</f>
        <v>8000</v>
      </c>
      <c r="T76" s="16"/>
      <c r="U76" s="16"/>
      <c r="V76" s="16"/>
      <c r="W76" s="50">
        <f>0</f>
        <v>0</v>
      </c>
      <c r="X76" s="50"/>
    </row>
    <row r="77" spans="1:24" s="1" customFormat="1" ht="13.5" customHeight="1">
      <c r="A77" s="13" t="s">
        <v>92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4" t="s">
        <v>72</v>
      </c>
      <c r="M77" s="14"/>
      <c r="N77" s="14" t="s">
        <v>129</v>
      </c>
      <c r="O77" s="14"/>
      <c r="P77" s="16">
        <f>20000</f>
        <v>20000</v>
      </c>
      <c r="Q77" s="16"/>
      <c r="R77" s="16"/>
      <c r="S77" s="16">
        <f>20000</f>
        <v>20000</v>
      </c>
      <c r="T77" s="16"/>
      <c r="U77" s="16"/>
      <c r="V77" s="16"/>
      <c r="W77" s="50">
        <f>0</f>
        <v>0</v>
      </c>
      <c r="X77" s="50"/>
    </row>
    <row r="78" spans="1:24" s="1" customFormat="1" ht="13.5" customHeight="1">
      <c r="A78" s="13" t="s">
        <v>107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" t="s">
        <v>72</v>
      </c>
      <c r="M78" s="14"/>
      <c r="N78" s="14" t="s">
        <v>130</v>
      </c>
      <c r="O78" s="14"/>
      <c r="P78" s="16">
        <f>208346.7</f>
        <v>208346.7</v>
      </c>
      <c r="Q78" s="16"/>
      <c r="R78" s="16"/>
      <c r="S78" s="16">
        <f>208346.7</f>
        <v>208346.7</v>
      </c>
      <c r="T78" s="16"/>
      <c r="U78" s="16"/>
      <c r="V78" s="16"/>
      <c r="W78" s="50">
        <f>0</f>
        <v>0</v>
      </c>
      <c r="X78" s="50"/>
    </row>
    <row r="79" spans="1:24" s="1" customFormat="1" ht="13.5" customHeight="1">
      <c r="A79" s="13" t="s">
        <v>85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4" t="s">
        <v>72</v>
      </c>
      <c r="M79" s="14"/>
      <c r="N79" s="14" t="s">
        <v>131</v>
      </c>
      <c r="O79" s="14"/>
      <c r="P79" s="16">
        <f>306480</f>
        <v>306480</v>
      </c>
      <c r="Q79" s="16"/>
      <c r="R79" s="16"/>
      <c r="S79" s="16">
        <f>190857.63</f>
        <v>190857.63</v>
      </c>
      <c r="T79" s="16"/>
      <c r="U79" s="16"/>
      <c r="V79" s="16"/>
      <c r="W79" s="50">
        <f>115622.37</f>
        <v>115622.37</v>
      </c>
      <c r="X79" s="50"/>
    </row>
    <row r="80" spans="1:24" s="1" customFormat="1" ht="13.5" customHeight="1">
      <c r="A80" s="13" t="s">
        <v>107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4" t="s">
        <v>72</v>
      </c>
      <c r="M80" s="14"/>
      <c r="N80" s="14" t="s">
        <v>132</v>
      </c>
      <c r="O80" s="14"/>
      <c r="P80" s="16">
        <f>27305.7</f>
        <v>27305.7</v>
      </c>
      <c r="Q80" s="16"/>
      <c r="R80" s="16"/>
      <c r="S80" s="16">
        <f>19905.7</f>
        <v>19905.7</v>
      </c>
      <c r="T80" s="16"/>
      <c r="U80" s="16"/>
      <c r="V80" s="16"/>
      <c r="W80" s="50">
        <f>7400</f>
        <v>7400</v>
      </c>
      <c r="X80" s="50"/>
    </row>
    <row r="81" spans="1:24" s="1" customFormat="1" ht="13.5" customHeight="1">
      <c r="A81" s="13" t="s">
        <v>83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4" t="s">
        <v>72</v>
      </c>
      <c r="M81" s="14"/>
      <c r="N81" s="14" t="s">
        <v>133</v>
      </c>
      <c r="O81" s="14"/>
      <c r="P81" s="16">
        <f>458417.5</f>
        <v>458417.5</v>
      </c>
      <c r="Q81" s="16"/>
      <c r="R81" s="16"/>
      <c r="S81" s="16">
        <f>334384.45</f>
        <v>334384.45</v>
      </c>
      <c r="T81" s="16"/>
      <c r="U81" s="16"/>
      <c r="V81" s="16"/>
      <c r="W81" s="50">
        <f>124033.05</f>
        <v>124033.05</v>
      </c>
      <c r="X81" s="50"/>
    </row>
    <row r="82" spans="1:24" s="1" customFormat="1" ht="13.5" customHeight="1">
      <c r="A82" s="13" t="s">
        <v>90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4" t="s">
        <v>72</v>
      </c>
      <c r="M82" s="14"/>
      <c r="N82" s="14" t="s">
        <v>134</v>
      </c>
      <c r="O82" s="14"/>
      <c r="P82" s="16">
        <f>2135</f>
        <v>2135</v>
      </c>
      <c r="Q82" s="16"/>
      <c r="R82" s="16"/>
      <c r="S82" s="16">
        <f>0</f>
        <v>0</v>
      </c>
      <c r="T82" s="16"/>
      <c r="U82" s="16"/>
      <c r="V82" s="16"/>
      <c r="W82" s="50">
        <f>2135</f>
        <v>2135</v>
      </c>
      <c r="X82" s="50"/>
    </row>
    <row r="83" spans="1:24" s="1" customFormat="1" ht="13.5" customHeight="1">
      <c r="A83" s="13" t="s">
        <v>92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4" t="s">
        <v>72</v>
      </c>
      <c r="M83" s="14"/>
      <c r="N83" s="14" t="s">
        <v>135</v>
      </c>
      <c r="O83" s="14"/>
      <c r="P83" s="16">
        <f>93425</f>
        <v>93425</v>
      </c>
      <c r="Q83" s="16"/>
      <c r="R83" s="16"/>
      <c r="S83" s="16">
        <f>30344</f>
        <v>30344</v>
      </c>
      <c r="T83" s="16"/>
      <c r="U83" s="16"/>
      <c r="V83" s="16"/>
      <c r="W83" s="50">
        <f>63081</f>
        <v>63081</v>
      </c>
      <c r="X83" s="50"/>
    </row>
    <row r="84" spans="1:24" s="1" customFormat="1" ht="13.5" customHeight="1">
      <c r="A84" s="13" t="s">
        <v>107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4" t="s">
        <v>72</v>
      </c>
      <c r="M84" s="14"/>
      <c r="N84" s="14" t="s">
        <v>136</v>
      </c>
      <c r="O84" s="14"/>
      <c r="P84" s="16">
        <f>3000000</f>
        <v>3000000</v>
      </c>
      <c r="Q84" s="16"/>
      <c r="R84" s="16"/>
      <c r="S84" s="20" t="s">
        <v>95</v>
      </c>
      <c r="T84" s="20"/>
      <c r="U84" s="20"/>
      <c r="V84" s="20"/>
      <c r="W84" s="50">
        <f>3000000</f>
        <v>3000000</v>
      </c>
      <c r="X84" s="50"/>
    </row>
    <row r="85" spans="1:24" s="1" customFormat="1" ht="13.5" customHeight="1">
      <c r="A85" s="13" t="s">
        <v>105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4" t="s">
        <v>72</v>
      </c>
      <c r="M85" s="14"/>
      <c r="N85" s="14" t="s">
        <v>137</v>
      </c>
      <c r="O85" s="14"/>
      <c r="P85" s="16">
        <f>379047.01</f>
        <v>379047.01</v>
      </c>
      <c r="Q85" s="16"/>
      <c r="R85" s="16"/>
      <c r="S85" s="16">
        <f>178019.47</f>
        <v>178019.47</v>
      </c>
      <c r="T85" s="16"/>
      <c r="U85" s="16"/>
      <c r="V85" s="16"/>
      <c r="W85" s="50">
        <f>201027.54</f>
        <v>201027.54</v>
      </c>
      <c r="X85" s="50"/>
    </row>
    <row r="86" spans="1:24" s="1" customFormat="1" ht="13.5" customHeight="1">
      <c r="A86" s="13" t="s">
        <v>107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4" t="s">
        <v>72</v>
      </c>
      <c r="M86" s="14"/>
      <c r="N86" s="14" t="s">
        <v>138</v>
      </c>
      <c r="O86" s="14"/>
      <c r="P86" s="16">
        <f>1002201.96</f>
        <v>1002201.96</v>
      </c>
      <c r="Q86" s="16"/>
      <c r="R86" s="16"/>
      <c r="S86" s="16">
        <f>584617.81</f>
        <v>584617.81</v>
      </c>
      <c r="T86" s="16"/>
      <c r="U86" s="16"/>
      <c r="V86" s="16"/>
      <c r="W86" s="50">
        <f>417584.15</f>
        <v>417584.15</v>
      </c>
      <c r="X86" s="50"/>
    </row>
    <row r="87" spans="1:24" s="1" customFormat="1" ht="13.5" customHeight="1">
      <c r="A87" s="13" t="s">
        <v>83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4" t="s">
        <v>72</v>
      </c>
      <c r="M87" s="14"/>
      <c r="N87" s="14" t="s">
        <v>139</v>
      </c>
      <c r="O87" s="14"/>
      <c r="P87" s="16">
        <f>3000</f>
        <v>3000</v>
      </c>
      <c r="Q87" s="16"/>
      <c r="R87" s="16"/>
      <c r="S87" s="16">
        <f>3000</f>
        <v>3000</v>
      </c>
      <c r="T87" s="16"/>
      <c r="U87" s="16"/>
      <c r="V87" s="16"/>
      <c r="W87" s="50">
        <f>0</f>
        <v>0</v>
      </c>
      <c r="X87" s="50"/>
    </row>
    <row r="88" spans="1:24" s="1" customFormat="1" ht="13.5" customHeight="1">
      <c r="A88" s="13" t="s">
        <v>107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4" t="s">
        <v>72</v>
      </c>
      <c r="M88" s="14"/>
      <c r="N88" s="14" t="s">
        <v>140</v>
      </c>
      <c r="O88" s="14"/>
      <c r="P88" s="16">
        <f>488230</f>
        <v>488230</v>
      </c>
      <c r="Q88" s="16"/>
      <c r="R88" s="16"/>
      <c r="S88" s="16">
        <f>37394.12</f>
        <v>37394.12</v>
      </c>
      <c r="T88" s="16"/>
      <c r="U88" s="16"/>
      <c r="V88" s="16"/>
      <c r="W88" s="50">
        <f>450835.88</f>
        <v>450835.88</v>
      </c>
      <c r="X88" s="50"/>
    </row>
    <row r="89" spans="1:24" s="1" customFormat="1" ht="13.5" customHeight="1">
      <c r="A89" s="13" t="s">
        <v>90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4" t="s">
        <v>72</v>
      </c>
      <c r="M89" s="14"/>
      <c r="N89" s="14" t="s">
        <v>141</v>
      </c>
      <c r="O89" s="14"/>
      <c r="P89" s="16">
        <f>198000</f>
        <v>198000</v>
      </c>
      <c r="Q89" s="16"/>
      <c r="R89" s="16"/>
      <c r="S89" s="16">
        <f>198000</f>
        <v>198000</v>
      </c>
      <c r="T89" s="16"/>
      <c r="U89" s="16"/>
      <c r="V89" s="16"/>
      <c r="W89" s="50">
        <f>0</f>
        <v>0</v>
      </c>
      <c r="X89" s="50"/>
    </row>
    <row r="90" spans="1:24" s="1" customFormat="1" ht="13.5" customHeight="1">
      <c r="A90" s="13" t="s">
        <v>92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4" t="s">
        <v>72</v>
      </c>
      <c r="M90" s="14"/>
      <c r="N90" s="14" t="s">
        <v>142</v>
      </c>
      <c r="O90" s="14"/>
      <c r="P90" s="16">
        <f>100000</f>
        <v>100000</v>
      </c>
      <c r="Q90" s="16"/>
      <c r="R90" s="16"/>
      <c r="S90" s="16">
        <f>100000</f>
        <v>100000</v>
      </c>
      <c r="T90" s="16"/>
      <c r="U90" s="16"/>
      <c r="V90" s="16"/>
      <c r="W90" s="50">
        <f>0</f>
        <v>0</v>
      </c>
      <c r="X90" s="50"/>
    </row>
    <row r="91" spans="1:24" s="1" customFormat="1" ht="13.5" customHeight="1">
      <c r="A91" s="13" t="s">
        <v>81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4" t="s">
        <v>72</v>
      </c>
      <c r="M91" s="14"/>
      <c r="N91" s="14" t="s">
        <v>143</v>
      </c>
      <c r="O91" s="14"/>
      <c r="P91" s="16">
        <f>60000</f>
        <v>60000</v>
      </c>
      <c r="Q91" s="16"/>
      <c r="R91" s="16"/>
      <c r="S91" s="16">
        <f>36000</f>
        <v>36000</v>
      </c>
      <c r="T91" s="16"/>
      <c r="U91" s="16"/>
      <c r="V91" s="16"/>
      <c r="W91" s="50">
        <f>24000</f>
        <v>24000</v>
      </c>
      <c r="X91" s="50"/>
    </row>
    <row r="92" spans="1:24" s="1" customFormat="1" ht="13.5" customHeight="1">
      <c r="A92" s="13" t="s">
        <v>88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4" t="s">
        <v>72</v>
      </c>
      <c r="M92" s="14"/>
      <c r="N92" s="14" t="s">
        <v>144</v>
      </c>
      <c r="O92" s="14"/>
      <c r="P92" s="16">
        <f>50000</f>
        <v>50000</v>
      </c>
      <c r="Q92" s="16"/>
      <c r="R92" s="16"/>
      <c r="S92" s="16">
        <f>37000</f>
        <v>37000</v>
      </c>
      <c r="T92" s="16"/>
      <c r="U92" s="16"/>
      <c r="V92" s="16"/>
      <c r="W92" s="50">
        <f>13000</f>
        <v>13000</v>
      </c>
      <c r="X92" s="50"/>
    </row>
    <row r="93" spans="1:24" s="1" customFormat="1" ht="13.5" customHeight="1">
      <c r="A93" s="13" t="s">
        <v>92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4" t="s">
        <v>72</v>
      </c>
      <c r="M93" s="14"/>
      <c r="N93" s="14" t="s">
        <v>145</v>
      </c>
      <c r="O93" s="14"/>
      <c r="P93" s="16">
        <f>49000</f>
        <v>49000</v>
      </c>
      <c r="Q93" s="16"/>
      <c r="R93" s="16"/>
      <c r="S93" s="16">
        <f>37000</f>
        <v>37000</v>
      </c>
      <c r="T93" s="16"/>
      <c r="U93" s="16"/>
      <c r="V93" s="16"/>
      <c r="W93" s="50">
        <f>12000</f>
        <v>12000</v>
      </c>
      <c r="X93" s="50"/>
    </row>
    <row r="94" spans="1:24" s="1" customFormat="1" ht="13.5" customHeight="1">
      <c r="A94" s="13" t="s">
        <v>146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4" t="s">
        <v>72</v>
      </c>
      <c r="M94" s="14"/>
      <c r="N94" s="14" t="s">
        <v>147</v>
      </c>
      <c r="O94" s="14"/>
      <c r="P94" s="16">
        <f>9805408.03</f>
        <v>9805408.03</v>
      </c>
      <c r="Q94" s="16"/>
      <c r="R94" s="16"/>
      <c r="S94" s="16">
        <f>7517324.02</f>
        <v>7517324.02</v>
      </c>
      <c r="T94" s="16"/>
      <c r="U94" s="16"/>
      <c r="V94" s="16"/>
      <c r="W94" s="50">
        <f>2288084.01</f>
        <v>2288084.01</v>
      </c>
      <c r="X94" s="50"/>
    </row>
    <row r="95" spans="1:24" s="1" customFormat="1" ht="13.5" customHeight="1">
      <c r="A95" s="13" t="s">
        <v>146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4" t="s">
        <v>72</v>
      </c>
      <c r="M95" s="14"/>
      <c r="N95" s="14" t="s">
        <v>148</v>
      </c>
      <c r="O95" s="14"/>
      <c r="P95" s="16">
        <f>250000</f>
        <v>250000</v>
      </c>
      <c r="Q95" s="16"/>
      <c r="R95" s="16"/>
      <c r="S95" s="16">
        <f>250000</f>
        <v>250000</v>
      </c>
      <c r="T95" s="16"/>
      <c r="U95" s="16"/>
      <c r="V95" s="16"/>
      <c r="W95" s="50">
        <f>0</f>
        <v>0</v>
      </c>
      <c r="X95" s="50"/>
    </row>
    <row r="96" spans="1:24" s="1" customFormat="1" ht="13.5" customHeight="1">
      <c r="A96" s="13" t="s">
        <v>146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4" t="s">
        <v>72</v>
      </c>
      <c r="M96" s="14"/>
      <c r="N96" s="14" t="s">
        <v>149</v>
      </c>
      <c r="O96" s="14"/>
      <c r="P96" s="16">
        <f>1204401</f>
        <v>1204401</v>
      </c>
      <c r="Q96" s="16"/>
      <c r="R96" s="16"/>
      <c r="S96" s="16">
        <f>644335</f>
        <v>644335</v>
      </c>
      <c r="T96" s="16"/>
      <c r="U96" s="16"/>
      <c r="V96" s="16"/>
      <c r="W96" s="50">
        <f>560066</f>
        <v>560066</v>
      </c>
      <c r="X96" s="50"/>
    </row>
    <row r="97" spans="1:24" s="1" customFormat="1" ht="24" customHeight="1">
      <c r="A97" s="13" t="s">
        <v>150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4" t="s">
        <v>72</v>
      </c>
      <c r="M97" s="14"/>
      <c r="N97" s="14" t="s">
        <v>151</v>
      </c>
      <c r="O97" s="14"/>
      <c r="P97" s="16">
        <f>300000</f>
        <v>300000</v>
      </c>
      <c r="Q97" s="16"/>
      <c r="R97" s="16"/>
      <c r="S97" s="16">
        <f>225000</f>
        <v>225000</v>
      </c>
      <c r="T97" s="16"/>
      <c r="U97" s="16"/>
      <c r="V97" s="16"/>
      <c r="W97" s="50">
        <f>75000</f>
        <v>75000</v>
      </c>
      <c r="X97" s="50"/>
    </row>
    <row r="98" spans="1:24" s="1" customFormat="1" ht="13.5" customHeight="1">
      <c r="A98" s="13" t="s">
        <v>152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4" t="s">
        <v>72</v>
      </c>
      <c r="M98" s="14"/>
      <c r="N98" s="14" t="s">
        <v>153</v>
      </c>
      <c r="O98" s="14"/>
      <c r="P98" s="16">
        <f>40000</f>
        <v>40000</v>
      </c>
      <c r="Q98" s="16"/>
      <c r="R98" s="16"/>
      <c r="S98" s="20" t="s">
        <v>95</v>
      </c>
      <c r="T98" s="20"/>
      <c r="U98" s="20"/>
      <c r="V98" s="20"/>
      <c r="W98" s="50">
        <f>40000</f>
        <v>40000</v>
      </c>
      <c r="X98" s="50"/>
    </row>
    <row r="99" spans="1:24" s="1" customFormat="1" ht="13.5" customHeight="1">
      <c r="A99" s="13" t="s">
        <v>73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4" t="s">
        <v>72</v>
      </c>
      <c r="M99" s="14"/>
      <c r="N99" s="14" t="s">
        <v>154</v>
      </c>
      <c r="O99" s="14"/>
      <c r="P99" s="16">
        <f>2920800.9</f>
        <v>2920800.9</v>
      </c>
      <c r="Q99" s="16"/>
      <c r="R99" s="16"/>
      <c r="S99" s="16">
        <f>1950356.49</f>
        <v>1950356.49</v>
      </c>
      <c r="T99" s="16"/>
      <c r="U99" s="16"/>
      <c r="V99" s="16"/>
      <c r="W99" s="50">
        <f>970444.41</f>
        <v>970444.41</v>
      </c>
      <c r="X99" s="50"/>
    </row>
    <row r="100" spans="1:24" s="1" customFormat="1" ht="13.5" customHeight="1">
      <c r="A100" s="13" t="s">
        <v>75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4" t="s">
        <v>72</v>
      </c>
      <c r="M100" s="14"/>
      <c r="N100" s="14" t="s">
        <v>155</v>
      </c>
      <c r="O100" s="14"/>
      <c r="P100" s="16">
        <f>881175.88</f>
        <v>881175.88</v>
      </c>
      <c r="Q100" s="16"/>
      <c r="R100" s="16"/>
      <c r="S100" s="16">
        <f>573559.22</f>
        <v>573559.22</v>
      </c>
      <c r="T100" s="16"/>
      <c r="U100" s="16"/>
      <c r="V100" s="16"/>
      <c r="W100" s="50">
        <f>307616.66</f>
        <v>307616.66</v>
      </c>
      <c r="X100" s="50"/>
    </row>
    <row r="101" spans="1:24" s="1" customFormat="1" ht="13.5" customHeight="1">
      <c r="A101" s="13" t="s">
        <v>79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4" t="s">
        <v>72</v>
      </c>
      <c r="M101" s="14"/>
      <c r="N101" s="14" t="s">
        <v>156</v>
      </c>
      <c r="O101" s="14"/>
      <c r="P101" s="16">
        <f>115900</f>
        <v>115900</v>
      </c>
      <c r="Q101" s="16"/>
      <c r="R101" s="16"/>
      <c r="S101" s="16">
        <f>26873.5</f>
        <v>26873.5</v>
      </c>
      <c r="T101" s="16"/>
      <c r="U101" s="16"/>
      <c r="V101" s="16"/>
      <c r="W101" s="50">
        <f>89026.5</f>
        <v>89026.5</v>
      </c>
      <c r="X101" s="50"/>
    </row>
    <row r="102" spans="1:24" s="1" customFormat="1" ht="13.5" customHeight="1">
      <c r="A102" s="13" t="s">
        <v>83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4" t="s">
        <v>72</v>
      </c>
      <c r="M102" s="14"/>
      <c r="N102" s="14" t="s">
        <v>157</v>
      </c>
      <c r="O102" s="14"/>
      <c r="P102" s="16">
        <f>180</f>
        <v>180</v>
      </c>
      <c r="Q102" s="16"/>
      <c r="R102" s="16"/>
      <c r="S102" s="16">
        <f>180</f>
        <v>180</v>
      </c>
      <c r="T102" s="16"/>
      <c r="U102" s="16"/>
      <c r="V102" s="16"/>
      <c r="W102" s="50">
        <f>0</f>
        <v>0</v>
      </c>
      <c r="X102" s="50"/>
    </row>
    <row r="103" spans="1:24" s="1" customFormat="1" ht="13.5" customHeight="1">
      <c r="A103" s="13" t="s">
        <v>85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4" t="s">
        <v>72</v>
      </c>
      <c r="M103" s="14"/>
      <c r="N103" s="14" t="s">
        <v>158</v>
      </c>
      <c r="O103" s="14"/>
      <c r="P103" s="16">
        <f>11617.18</f>
        <v>11617.18</v>
      </c>
      <c r="Q103" s="16"/>
      <c r="R103" s="16"/>
      <c r="S103" s="16">
        <f>4751.58</f>
        <v>4751.58</v>
      </c>
      <c r="T103" s="16"/>
      <c r="U103" s="16"/>
      <c r="V103" s="16"/>
      <c r="W103" s="50">
        <f>6865.6</f>
        <v>6865.6</v>
      </c>
      <c r="X103" s="50"/>
    </row>
    <row r="104" spans="1:24" s="1" customFormat="1" ht="13.5" customHeight="1">
      <c r="A104" s="13" t="s">
        <v>81</v>
      </c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4" t="s">
        <v>72</v>
      </c>
      <c r="M104" s="14"/>
      <c r="N104" s="14" t="s">
        <v>159</v>
      </c>
      <c r="O104" s="14"/>
      <c r="P104" s="16">
        <f>48000</f>
        <v>48000</v>
      </c>
      <c r="Q104" s="16"/>
      <c r="R104" s="16"/>
      <c r="S104" s="16">
        <f>45000</f>
        <v>45000</v>
      </c>
      <c r="T104" s="16"/>
      <c r="U104" s="16"/>
      <c r="V104" s="16"/>
      <c r="W104" s="50">
        <f>3000</f>
        <v>3000</v>
      </c>
      <c r="X104" s="50"/>
    </row>
    <row r="105" spans="1:24" s="1" customFormat="1" ht="13.5" customHeight="1">
      <c r="A105" s="13" t="s">
        <v>105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4" t="s">
        <v>72</v>
      </c>
      <c r="M105" s="14"/>
      <c r="N105" s="14" t="s">
        <v>160</v>
      </c>
      <c r="O105" s="14"/>
      <c r="P105" s="16">
        <f>661973.36</f>
        <v>661973.36</v>
      </c>
      <c r="Q105" s="16"/>
      <c r="R105" s="16"/>
      <c r="S105" s="16">
        <f>388492.12</f>
        <v>388492.12</v>
      </c>
      <c r="T105" s="16"/>
      <c r="U105" s="16"/>
      <c r="V105" s="16"/>
      <c r="W105" s="50">
        <f>273481.24</f>
        <v>273481.24</v>
      </c>
      <c r="X105" s="50"/>
    </row>
    <row r="106" spans="1:24" s="1" customFormat="1" ht="13.5" customHeight="1">
      <c r="A106" s="13" t="s">
        <v>107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4" t="s">
        <v>72</v>
      </c>
      <c r="M106" s="14"/>
      <c r="N106" s="14" t="s">
        <v>161</v>
      </c>
      <c r="O106" s="14"/>
      <c r="P106" s="16">
        <f>168999.12</f>
        <v>168999.12</v>
      </c>
      <c r="Q106" s="16"/>
      <c r="R106" s="16"/>
      <c r="S106" s="16">
        <f>115922.06</f>
        <v>115922.06</v>
      </c>
      <c r="T106" s="16"/>
      <c r="U106" s="16"/>
      <c r="V106" s="16"/>
      <c r="W106" s="50">
        <f>53077.06</f>
        <v>53077.06</v>
      </c>
      <c r="X106" s="50"/>
    </row>
    <row r="107" spans="1:24" s="1" customFormat="1" ht="13.5" customHeight="1">
      <c r="A107" s="13" t="s">
        <v>83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4" t="s">
        <v>72</v>
      </c>
      <c r="M107" s="14"/>
      <c r="N107" s="14" t="s">
        <v>162</v>
      </c>
      <c r="O107" s="14"/>
      <c r="P107" s="16">
        <f>65990</f>
        <v>65990</v>
      </c>
      <c r="Q107" s="16"/>
      <c r="R107" s="16"/>
      <c r="S107" s="16">
        <f>48330</f>
        <v>48330</v>
      </c>
      <c r="T107" s="16"/>
      <c r="U107" s="16"/>
      <c r="V107" s="16"/>
      <c r="W107" s="50">
        <f>17660</f>
        <v>17660</v>
      </c>
      <c r="X107" s="50"/>
    </row>
    <row r="108" spans="1:24" s="1" customFormat="1" ht="13.5" customHeight="1">
      <c r="A108" s="13" t="s">
        <v>88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4" t="s">
        <v>72</v>
      </c>
      <c r="M108" s="14"/>
      <c r="N108" s="14" t="s">
        <v>163</v>
      </c>
      <c r="O108" s="14"/>
      <c r="P108" s="16">
        <f>79900</f>
        <v>79900</v>
      </c>
      <c r="Q108" s="16"/>
      <c r="R108" s="16"/>
      <c r="S108" s="16">
        <f>59900</f>
        <v>59900</v>
      </c>
      <c r="T108" s="16"/>
      <c r="U108" s="16"/>
      <c r="V108" s="16"/>
      <c r="W108" s="50">
        <f>20000</f>
        <v>20000</v>
      </c>
      <c r="X108" s="50"/>
    </row>
    <row r="109" spans="1:24" s="1" customFormat="1" ht="13.5" customHeight="1">
      <c r="A109" s="13" t="s">
        <v>90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4" t="s">
        <v>72</v>
      </c>
      <c r="M109" s="14"/>
      <c r="N109" s="14" t="s">
        <v>164</v>
      </c>
      <c r="O109" s="14"/>
      <c r="P109" s="16">
        <f>450000</f>
        <v>450000</v>
      </c>
      <c r="Q109" s="16"/>
      <c r="R109" s="16"/>
      <c r="S109" s="16">
        <f>450000</f>
        <v>450000</v>
      </c>
      <c r="T109" s="16"/>
      <c r="U109" s="16"/>
      <c r="V109" s="16"/>
      <c r="W109" s="50">
        <f>0</f>
        <v>0</v>
      </c>
      <c r="X109" s="50"/>
    </row>
    <row r="110" spans="1:24" s="1" customFormat="1" ht="13.5" customHeight="1">
      <c r="A110" s="13" t="s">
        <v>92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4" t="s">
        <v>72</v>
      </c>
      <c r="M110" s="14"/>
      <c r="N110" s="14" t="s">
        <v>165</v>
      </c>
      <c r="O110" s="14"/>
      <c r="P110" s="16">
        <f>6742.73</f>
        <v>6742.73</v>
      </c>
      <c r="Q110" s="16"/>
      <c r="R110" s="16"/>
      <c r="S110" s="16">
        <f>6742.73</f>
        <v>6742.73</v>
      </c>
      <c r="T110" s="16"/>
      <c r="U110" s="16"/>
      <c r="V110" s="16"/>
      <c r="W110" s="50">
        <f>0</f>
        <v>0</v>
      </c>
      <c r="X110" s="50"/>
    </row>
    <row r="111" spans="1:24" s="1" customFormat="1" ht="13.5" customHeight="1">
      <c r="A111" s="13" t="s">
        <v>88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4" t="s">
        <v>72</v>
      </c>
      <c r="M111" s="14"/>
      <c r="N111" s="14" t="s">
        <v>166</v>
      </c>
      <c r="O111" s="14"/>
      <c r="P111" s="16">
        <f>18688</f>
        <v>18688</v>
      </c>
      <c r="Q111" s="16"/>
      <c r="R111" s="16"/>
      <c r="S111" s="16">
        <f>9543</f>
        <v>9543</v>
      </c>
      <c r="T111" s="16"/>
      <c r="U111" s="16"/>
      <c r="V111" s="16"/>
      <c r="W111" s="50">
        <f>9145</f>
        <v>9145</v>
      </c>
      <c r="X111" s="50"/>
    </row>
    <row r="112" spans="1:24" s="1" customFormat="1" ht="13.5" customHeight="1">
      <c r="A112" s="13" t="s">
        <v>88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4" t="s">
        <v>72</v>
      </c>
      <c r="M112" s="14"/>
      <c r="N112" s="14" t="s">
        <v>167</v>
      </c>
      <c r="O112" s="14"/>
      <c r="P112" s="16">
        <f>2000</f>
        <v>2000</v>
      </c>
      <c r="Q112" s="16"/>
      <c r="R112" s="16"/>
      <c r="S112" s="20" t="s">
        <v>95</v>
      </c>
      <c r="T112" s="20"/>
      <c r="U112" s="20"/>
      <c r="V112" s="20"/>
      <c r="W112" s="50">
        <f>2000</f>
        <v>2000</v>
      </c>
      <c r="X112" s="50"/>
    </row>
    <row r="113" spans="1:24" s="1" customFormat="1" ht="13.5" customHeight="1">
      <c r="A113" s="13" t="s">
        <v>168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4" t="s">
        <v>72</v>
      </c>
      <c r="M113" s="14"/>
      <c r="N113" s="14" t="s">
        <v>169</v>
      </c>
      <c r="O113" s="14"/>
      <c r="P113" s="16">
        <f>28036094.98</f>
        <v>28036094.98</v>
      </c>
      <c r="Q113" s="16"/>
      <c r="R113" s="16"/>
      <c r="S113" s="16">
        <f>21106021.24</f>
        <v>21106021.24</v>
      </c>
      <c r="T113" s="16"/>
      <c r="U113" s="16"/>
      <c r="V113" s="16"/>
      <c r="W113" s="50">
        <f>6930073.74</f>
        <v>6930073.74</v>
      </c>
      <c r="X113" s="50"/>
    </row>
    <row r="114" spans="1:24" s="1" customFormat="1" ht="15" customHeight="1">
      <c r="A114" s="46" t="s">
        <v>170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7" t="s">
        <v>171</v>
      </c>
      <c r="M114" s="47"/>
      <c r="N114" s="47" t="s">
        <v>38</v>
      </c>
      <c r="O114" s="47"/>
      <c r="P114" s="48">
        <f>-4679974.01</f>
        <v>-4679974.01</v>
      </c>
      <c r="Q114" s="48"/>
      <c r="R114" s="48"/>
      <c r="S114" s="48">
        <f>-280902.14</f>
        <v>-280902.14</v>
      </c>
      <c r="T114" s="48"/>
      <c r="U114" s="48"/>
      <c r="V114" s="48"/>
      <c r="W114" s="49" t="s">
        <v>38</v>
      </c>
      <c r="X114" s="49"/>
    </row>
    <row r="115" spans="1:24" s="1" customFormat="1" ht="13.5" customHeight="1">
      <c r="A115" s="9" t="s">
        <v>18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s="1" customFormat="1" ht="13.5" customHeight="1">
      <c r="A116" s="42" t="s">
        <v>172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</row>
    <row r="117" spans="1:24" s="1" customFormat="1" ht="45.75" customHeight="1">
      <c r="A117" s="43" t="s">
        <v>24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 t="s">
        <v>25</v>
      </c>
      <c r="M117" s="43"/>
      <c r="N117" s="43" t="s">
        <v>173</v>
      </c>
      <c r="O117" s="43"/>
      <c r="P117" s="44" t="s">
        <v>27</v>
      </c>
      <c r="Q117" s="44"/>
      <c r="R117" s="44"/>
      <c r="S117" s="44" t="s">
        <v>28</v>
      </c>
      <c r="T117" s="44"/>
      <c r="U117" s="44"/>
      <c r="V117" s="44"/>
      <c r="W117" s="45" t="s">
        <v>29</v>
      </c>
      <c r="X117" s="45"/>
    </row>
    <row r="118" spans="1:24" s="1" customFormat="1" ht="12.75" customHeight="1">
      <c r="A118" s="39" t="s">
        <v>30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 t="s">
        <v>31</v>
      </c>
      <c r="M118" s="39"/>
      <c r="N118" s="39" t="s">
        <v>32</v>
      </c>
      <c r="O118" s="39"/>
      <c r="P118" s="40" t="s">
        <v>33</v>
      </c>
      <c r="Q118" s="40"/>
      <c r="R118" s="40"/>
      <c r="S118" s="40" t="s">
        <v>34</v>
      </c>
      <c r="T118" s="40"/>
      <c r="U118" s="40"/>
      <c r="V118" s="40"/>
      <c r="W118" s="41" t="s">
        <v>35</v>
      </c>
      <c r="X118" s="41"/>
    </row>
    <row r="119" spans="1:24" s="1" customFormat="1" ht="13.5" customHeight="1">
      <c r="A119" s="34" t="s">
        <v>174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5" t="s">
        <v>175</v>
      </c>
      <c r="M119" s="35"/>
      <c r="N119" s="35" t="s">
        <v>38</v>
      </c>
      <c r="O119" s="35"/>
      <c r="P119" s="36">
        <f>4679974.01</f>
        <v>4679974.01</v>
      </c>
      <c r="Q119" s="36"/>
      <c r="R119" s="36"/>
      <c r="S119" s="37">
        <f>280902.14</f>
        <v>280902.14</v>
      </c>
      <c r="T119" s="37"/>
      <c r="U119" s="37"/>
      <c r="V119" s="37"/>
      <c r="W119" s="38">
        <f>4399071.87</f>
        <v>4399071.87</v>
      </c>
      <c r="X119" s="38"/>
    </row>
    <row r="120" spans="1:24" s="1" customFormat="1" ht="13.5" customHeight="1">
      <c r="A120" s="32" t="s">
        <v>176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23" t="s">
        <v>18</v>
      </c>
      <c r="M120" s="23"/>
      <c r="N120" s="23" t="s">
        <v>18</v>
      </c>
      <c r="O120" s="23"/>
      <c r="P120" s="24" t="s">
        <v>18</v>
      </c>
      <c r="Q120" s="24"/>
      <c r="R120" s="24"/>
      <c r="S120" s="33" t="s">
        <v>18</v>
      </c>
      <c r="T120" s="33"/>
      <c r="U120" s="33"/>
      <c r="V120" s="33"/>
      <c r="W120" s="25" t="s">
        <v>18</v>
      </c>
      <c r="X120" s="25"/>
    </row>
    <row r="121" spans="1:24" s="1" customFormat="1" ht="13.5" customHeight="1">
      <c r="A121" s="26" t="s">
        <v>177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7" t="s">
        <v>178</v>
      </c>
      <c r="M121" s="27"/>
      <c r="N121" s="28" t="s">
        <v>38</v>
      </c>
      <c r="O121" s="28"/>
      <c r="P121" s="29" t="s">
        <v>95</v>
      </c>
      <c r="Q121" s="29"/>
      <c r="R121" s="29"/>
      <c r="S121" s="30" t="s">
        <v>95</v>
      </c>
      <c r="T121" s="30"/>
      <c r="U121" s="30"/>
      <c r="V121" s="30"/>
      <c r="W121" s="31" t="s">
        <v>95</v>
      </c>
      <c r="X121" s="31"/>
    </row>
    <row r="122" spans="1:24" s="1" customFormat="1" ht="13.5" customHeight="1">
      <c r="A122" s="22" t="s">
        <v>18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1:24" s="1" customFormat="1" ht="13.5" customHeight="1">
      <c r="A123" s="13" t="s">
        <v>179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23" t="s">
        <v>180</v>
      </c>
      <c r="M123" s="23"/>
      <c r="N123" s="23" t="s">
        <v>38</v>
      </c>
      <c r="O123" s="23"/>
      <c r="P123" s="24" t="s">
        <v>95</v>
      </c>
      <c r="Q123" s="24"/>
      <c r="R123" s="24"/>
      <c r="S123" s="20" t="s">
        <v>95</v>
      </c>
      <c r="T123" s="20"/>
      <c r="U123" s="20"/>
      <c r="V123" s="20"/>
      <c r="W123" s="25" t="s">
        <v>95</v>
      </c>
      <c r="X123" s="25"/>
    </row>
    <row r="124" spans="1:24" s="1" customFormat="1" ht="13.5" customHeight="1">
      <c r="A124" s="13" t="s">
        <v>18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4" t="s">
        <v>180</v>
      </c>
      <c r="M124" s="14"/>
      <c r="N124" s="14" t="s">
        <v>18</v>
      </c>
      <c r="O124" s="14"/>
      <c r="P124" s="19" t="s">
        <v>95</v>
      </c>
      <c r="Q124" s="19"/>
      <c r="R124" s="19"/>
      <c r="S124" s="20" t="s">
        <v>95</v>
      </c>
      <c r="T124" s="20"/>
      <c r="U124" s="20"/>
      <c r="V124" s="20"/>
      <c r="W124" s="21" t="s">
        <v>95</v>
      </c>
      <c r="X124" s="21"/>
    </row>
    <row r="125" spans="1:24" s="1" customFormat="1" ht="13.5" customHeight="1">
      <c r="A125" s="13" t="s">
        <v>181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4" t="s">
        <v>182</v>
      </c>
      <c r="M125" s="14"/>
      <c r="N125" s="14" t="s">
        <v>200</v>
      </c>
      <c r="O125" s="14"/>
      <c r="P125" s="15">
        <f>4679974.01</f>
        <v>4679974.01</v>
      </c>
      <c r="Q125" s="15"/>
      <c r="R125" s="15"/>
      <c r="S125" s="16">
        <f>280902.14</f>
        <v>280902.14</v>
      </c>
      <c r="T125" s="16"/>
      <c r="U125" s="16"/>
      <c r="V125" s="16"/>
      <c r="W125" s="18">
        <f>4399071.87</f>
        <v>4399071.87</v>
      </c>
      <c r="X125" s="18"/>
    </row>
    <row r="126" spans="1:24" s="1" customFormat="1" ht="13.5" customHeight="1">
      <c r="A126" s="13" t="s">
        <v>198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4" t="s">
        <v>183</v>
      </c>
      <c r="M126" s="14"/>
      <c r="N126" s="14" t="s">
        <v>184</v>
      </c>
      <c r="O126" s="14"/>
      <c r="P126" s="15">
        <f>-67348801.23</f>
        <v>-67348801.23</v>
      </c>
      <c r="Q126" s="15"/>
      <c r="R126" s="15"/>
      <c r="S126" s="16">
        <f>-48426029.77</f>
        <v>-48426029.77</v>
      </c>
      <c r="T126" s="16"/>
      <c r="U126" s="16"/>
      <c r="V126" s="16"/>
      <c r="W126" s="17" t="s">
        <v>38</v>
      </c>
      <c r="X126" s="17"/>
    </row>
    <row r="127" spans="1:24" s="1" customFormat="1" ht="13.5" customHeight="1">
      <c r="A127" s="13" t="s">
        <v>199</v>
      </c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4" t="s">
        <v>185</v>
      </c>
      <c r="M127" s="14"/>
      <c r="N127" s="14" t="s">
        <v>186</v>
      </c>
      <c r="O127" s="14"/>
      <c r="P127" s="15">
        <f>72028775.24</f>
        <v>72028775.24</v>
      </c>
      <c r="Q127" s="15"/>
      <c r="R127" s="15"/>
      <c r="S127" s="16">
        <f>48706931.91</f>
        <v>48706931.91</v>
      </c>
      <c r="T127" s="16"/>
      <c r="U127" s="16"/>
      <c r="V127" s="16"/>
      <c r="W127" s="17" t="s">
        <v>38</v>
      </c>
      <c r="X127" s="17"/>
    </row>
    <row r="128" spans="1:24" s="1" customFormat="1" ht="13.5" customHeight="1">
      <c r="A128" s="12" t="s">
        <v>18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s="1" customFormat="1" ht="13.5" customHeight="1">
      <c r="A129" s="9" t="s">
        <v>187</v>
      </c>
      <c r="B129" s="9"/>
      <c r="C129" s="9"/>
      <c r="D129" s="9"/>
      <c r="E129" s="9"/>
      <c r="F129" s="9"/>
      <c r="G129" s="9"/>
      <c r="H129" s="9"/>
      <c r="I129" s="11" t="s">
        <v>18</v>
      </c>
      <c r="J129" s="11"/>
      <c r="K129" s="11"/>
      <c r="L129" s="11"/>
      <c r="M129" s="11"/>
      <c r="N129" s="11" t="s">
        <v>188</v>
      </c>
      <c r="O129" s="11"/>
      <c r="P129" s="11"/>
      <c r="Q129" s="11"/>
      <c r="R129" s="9" t="s">
        <v>18</v>
      </c>
      <c r="S129" s="9"/>
      <c r="T129" s="9"/>
      <c r="U129" s="9"/>
      <c r="V129" s="9"/>
      <c r="W129" s="9"/>
      <c r="X129" s="9"/>
    </row>
    <row r="130" spans="1:24" s="1" customFormat="1" ht="13.5" customHeight="1">
      <c r="A130" s="9" t="s">
        <v>18</v>
      </c>
      <c r="B130" s="9"/>
      <c r="C130" s="9"/>
      <c r="D130" s="9"/>
      <c r="E130" s="9"/>
      <c r="F130" s="9"/>
      <c r="G130" s="9"/>
      <c r="H130" s="9"/>
      <c r="I130" s="5" t="s">
        <v>18</v>
      </c>
      <c r="J130" s="10" t="s">
        <v>189</v>
      </c>
      <c r="K130" s="10"/>
      <c r="L130" s="10"/>
      <c r="M130" s="5" t="s">
        <v>18</v>
      </c>
      <c r="N130" s="5" t="s">
        <v>18</v>
      </c>
      <c r="O130" s="10" t="s">
        <v>190</v>
      </c>
      <c r="P130" s="10"/>
      <c r="Q130" s="9" t="s">
        <v>18</v>
      </c>
      <c r="R130" s="9"/>
      <c r="S130" s="9"/>
      <c r="T130" s="9"/>
      <c r="U130" s="9"/>
      <c r="V130" s="9"/>
      <c r="W130" s="9"/>
      <c r="X130" s="9"/>
    </row>
    <row r="131" spans="1:24" s="1" customFormat="1" ht="7.5" customHeight="1">
      <c r="A131" s="9" t="s">
        <v>18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s="1" customFormat="1" ht="13.5" customHeight="1">
      <c r="A132" s="9" t="s">
        <v>191</v>
      </c>
      <c r="B132" s="9"/>
      <c r="C132" s="9"/>
      <c r="D132" s="9"/>
      <c r="E132" s="9"/>
      <c r="F132" s="9"/>
      <c r="G132" s="9"/>
      <c r="H132" s="9"/>
      <c r="I132" s="11" t="s">
        <v>18</v>
      </c>
      <c r="J132" s="11"/>
      <c r="K132" s="11"/>
      <c r="L132" s="11"/>
      <c r="M132" s="11"/>
      <c r="N132" s="11" t="s">
        <v>192</v>
      </c>
      <c r="O132" s="11"/>
      <c r="P132" s="11"/>
      <c r="Q132" s="11"/>
      <c r="R132" s="9" t="s">
        <v>18</v>
      </c>
      <c r="S132" s="9"/>
      <c r="T132" s="9"/>
      <c r="U132" s="9"/>
      <c r="V132" s="9"/>
      <c r="W132" s="9"/>
      <c r="X132" s="9"/>
    </row>
    <row r="133" spans="1:24" s="1" customFormat="1" ht="13.5" customHeight="1">
      <c r="A133" s="9" t="s">
        <v>18</v>
      </c>
      <c r="B133" s="9"/>
      <c r="C133" s="9"/>
      <c r="D133" s="9"/>
      <c r="E133" s="9"/>
      <c r="F133" s="9"/>
      <c r="G133" s="9"/>
      <c r="H133" s="9"/>
      <c r="I133" s="5" t="s">
        <v>18</v>
      </c>
      <c r="J133" s="10" t="s">
        <v>189</v>
      </c>
      <c r="K133" s="10"/>
      <c r="L133" s="10"/>
      <c r="M133" s="5" t="s">
        <v>18</v>
      </c>
      <c r="N133" s="5" t="s">
        <v>18</v>
      </c>
      <c r="O133" s="10" t="s">
        <v>190</v>
      </c>
      <c r="P133" s="10"/>
      <c r="Q133" s="9" t="s">
        <v>18</v>
      </c>
      <c r="R133" s="9"/>
      <c r="S133" s="9"/>
      <c r="T133" s="9"/>
      <c r="U133" s="9"/>
      <c r="V133" s="9"/>
      <c r="W133" s="9"/>
      <c r="X133" s="9"/>
    </row>
    <row r="134" spans="1:24" s="1" customFormat="1" ht="7.5" customHeight="1">
      <c r="A134" s="9" t="s">
        <v>18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s="1" customFormat="1" ht="13.5" customHeight="1">
      <c r="A135" s="9" t="s">
        <v>193</v>
      </c>
      <c r="B135" s="9"/>
      <c r="C135" s="11" t="s">
        <v>194</v>
      </c>
      <c r="D135" s="11"/>
      <c r="E135" s="11"/>
      <c r="F135" s="11"/>
      <c r="G135" s="11"/>
      <c r="H135" s="11"/>
      <c r="I135" s="11" t="s">
        <v>18</v>
      </c>
      <c r="J135" s="11"/>
      <c r="K135" s="11"/>
      <c r="L135" s="11"/>
      <c r="M135" s="11"/>
      <c r="N135" s="11" t="s">
        <v>195</v>
      </c>
      <c r="O135" s="11"/>
      <c r="P135" s="11"/>
      <c r="Q135" s="11"/>
      <c r="R135" s="9" t="s">
        <v>18</v>
      </c>
      <c r="S135" s="9"/>
      <c r="T135" s="9"/>
      <c r="U135" s="9"/>
      <c r="V135" s="9"/>
      <c r="W135" s="9"/>
      <c r="X135" s="9"/>
    </row>
    <row r="136" spans="1:24" s="1" customFormat="1" ht="13.5" customHeight="1">
      <c r="A136" s="9" t="s">
        <v>18</v>
      </c>
      <c r="B136" s="9"/>
      <c r="C136" s="5" t="s">
        <v>18</v>
      </c>
      <c r="D136" s="10" t="s">
        <v>196</v>
      </c>
      <c r="E136" s="10"/>
      <c r="F136" s="10"/>
      <c r="G136" s="10"/>
      <c r="H136" s="5" t="s">
        <v>18</v>
      </c>
      <c r="I136" s="5" t="s">
        <v>18</v>
      </c>
      <c r="J136" s="10" t="s">
        <v>189</v>
      </c>
      <c r="K136" s="10"/>
      <c r="L136" s="10"/>
      <c r="M136" s="5" t="s">
        <v>18</v>
      </c>
      <c r="N136" s="5" t="s">
        <v>18</v>
      </c>
      <c r="O136" s="10" t="s">
        <v>190</v>
      </c>
      <c r="P136" s="10"/>
      <c r="Q136" s="9" t="s">
        <v>18</v>
      </c>
      <c r="R136" s="9"/>
      <c r="S136" s="9"/>
      <c r="T136" s="9"/>
      <c r="U136" s="9"/>
      <c r="V136" s="9"/>
      <c r="W136" s="9"/>
      <c r="X136" s="9"/>
    </row>
    <row r="137" spans="1:24" s="1" customFormat="1" ht="15.75" customHeight="1">
      <c r="A137" s="9" t="s">
        <v>18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s="1" customFormat="1" ht="13.5" customHeight="1">
      <c r="A138" s="8" t="s">
        <v>197</v>
      </c>
      <c r="B138" s="8"/>
      <c r="C138" s="8"/>
      <c r="D138" s="8"/>
      <c r="E138" s="8"/>
      <c r="F138" s="8"/>
      <c r="G138" s="8"/>
      <c r="H138" s="8"/>
      <c r="I138" s="8"/>
      <c r="J138" s="8"/>
      <c r="K138" s="9" t="s">
        <v>18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</sheetData>
  <sheetProtection/>
  <mergeCells count="731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K25"/>
    <mergeCell ref="L25:M25"/>
    <mergeCell ref="N25:O25"/>
    <mergeCell ref="P25:R25"/>
    <mergeCell ref="S25:V25"/>
    <mergeCell ref="W25:X25"/>
    <mergeCell ref="A26:K26"/>
    <mergeCell ref="L26:M26"/>
    <mergeCell ref="N26:O26"/>
    <mergeCell ref="P26:R26"/>
    <mergeCell ref="S26:V26"/>
    <mergeCell ref="W26:X26"/>
    <mergeCell ref="A27:K27"/>
    <mergeCell ref="L27:M27"/>
    <mergeCell ref="N27:O27"/>
    <mergeCell ref="P27:R27"/>
    <mergeCell ref="S27:V27"/>
    <mergeCell ref="W27:X27"/>
    <mergeCell ref="A28:X28"/>
    <mergeCell ref="A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K68"/>
    <mergeCell ref="L68:M68"/>
    <mergeCell ref="N68:O68"/>
    <mergeCell ref="P68:R68"/>
    <mergeCell ref="S68:V68"/>
    <mergeCell ref="W68:X68"/>
    <mergeCell ref="A69:K69"/>
    <mergeCell ref="L69:M69"/>
    <mergeCell ref="N69:O69"/>
    <mergeCell ref="P69:R69"/>
    <mergeCell ref="S69:V69"/>
    <mergeCell ref="W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K76"/>
    <mergeCell ref="L76:M76"/>
    <mergeCell ref="N76:O76"/>
    <mergeCell ref="P76:R76"/>
    <mergeCell ref="S76:V76"/>
    <mergeCell ref="W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K82"/>
    <mergeCell ref="L82:M82"/>
    <mergeCell ref="N82:O82"/>
    <mergeCell ref="P82:R82"/>
    <mergeCell ref="S82:V82"/>
    <mergeCell ref="W82:X82"/>
    <mergeCell ref="A83:K83"/>
    <mergeCell ref="L83:M83"/>
    <mergeCell ref="N83:O83"/>
    <mergeCell ref="P83:R83"/>
    <mergeCell ref="S83:V83"/>
    <mergeCell ref="W83:X83"/>
    <mergeCell ref="A84:K84"/>
    <mergeCell ref="L84:M84"/>
    <mergeCell ref="N84:O84"/>
    <mergeCell ref="P84:R84"/>
    <mergeCell ref="S84:V84"/>
    <mergeCell ref="W84:X84"/>
    <mergeCell ref="A85:K85"/>
    <mergeCell ref="L85:M85"/>
    <mergeCell ref="N85:O85"/>
    <mergeCell ref="P85:R85"/>
    <mergeCell ref="S85:V85"/>
    <mergeCell ref="W85:X85"/>
    <mergeCell ref="A86:K86"/>
    <mergeCell ref="L86:M86"/>
    <mergeCell ref="N86:O86"/>
    <mergeCell ref="P86:R86"/>
    <mergeCell ref="S86:V86"/>
    <mergeCell ref="W86:X86"/>
    <mergeCell ref="A87:K87"/>
    <mergeCell ref="L87:M87"/>
    <mergeCell ref="N87:O87"/>
    <mergeCell ref="P87:R87"/>
    <mergeCell ref="S87:V87"/>
    <mergeCell ref="W87:X87"/>
    <mergeCell ref="A88:K88"/>
    <mergeCell ref="L88:M88"/>
    <mergeCell ref="N88:O88"/>
    <mergeCell ref="P88:R88"/>
    <mergeCell ref="S88:V88"/>
    <mergeCell ref="W88:X88"/>
    <mergeCell ref="A89:K89"/>
    <mergeCell ref="L89:M89"/>
    <mergeCell ref="N89:O89"/>
    <mergeCell ref="P89:R89"/>
    <mergeCell ref="S89:V89"/>
    <mergeCell ref="W89:X89"/>
    <mergeCell ref="A90:K90"/>
    <mergeCell ref="L90:M90"/>
    <mergeCell ref="N90:O90"/>
    <mergeCell ref="P90:R90"/>
    <mergeCell ref="S90:V90"/>
    <mergeCell ref="W90:X90"/>
    <mergeCell ref="A91:K91"/>
    <mergeCell ref="L91:M91"/>
    <mergeCell ref="N91:O91"/>
    <mergeCell ref="P91:R91"/>
    <mergeCell ref="S91:V91"/>
    <mergeCell ref="W91:X91"/>
    <mergeCell ref="A92:K92"/>
    <mergeCell ref="L92:M92"/>
    <mergeCell ref="N92:O92"/>
    <mergeCell ref="P92:R92"/>
    <mergeCell ref="S92:V92"/>
    <mergeCell ref="W92:X92"/>
    <mergeCell ref="A93:K93"/>
    <mergeCell ref="L93:M93"/>
    <mergeCell ref="N93:O93"/>
    <mergeCell ref="P93:R93"/>
    <mergeCell ref="S93:V93"/>
    <mergeCell ref="W93:X93"/>
    <mergeCell ref="A94:K94"/>
    <mergeCell ref="L94:M94"/>
    <mergeCell ref="N94:O94"/>
    <mergeCell ref="P94:R94"/>
    <mergeCell ref="S94:V94"/>
    <mergeCell ref="W94:X94"/>
    <mergeCell ref="A95:K95"/>
    <mergeCell ref="L95:M95"/>
    <mergeCell ref="N95:O95"/>
    <mergeCell ref="P95:R95"/>
    <mergeCell ref="S95:V95"/>
    <mergeCell ref="W95:X95"/>
    <mergeCell ref="A96:K96"/>
    <mergeCell ref="L96:M96"/>
    <mergeCell ref="N96:O96"/>
    <mergeCell ref="P96:R96"/>
    <mergeCell ref="S96:V96"/>
    <mergeCell ref="W96:X96"/>
    <mergeCell ref="A97:K97"/>
    <mergeCell ref="L97:M97"/>
    <mergeCell ref="N97:O97"/>
    <mergeCell ref="P97:R97"/>
    <mergeCell ref="S97:V97"/>
    <mergeCell ref="W97:X97"/>
    <mergeCell ref="A98:K98"/>
    <mergeCell ref="L98:M98"/>
    <mergeCell ref="N98:O98"/>
    <mergeCell ref="P98:R98"/>
    <mergeCell ref="S98:V98"/>
    <mergeCell ref="W98:X98"/>
    <mergeCell ref="A99:K99"/>
    <mergeCell ref="L99:M99"/>
    <mergeCell ref="N99:O99"/>
    <mergeCell ref="P99:R99"/>
    <mergeCell ref="S99:V99"/>
    <mergeCell ref="W99:X99"/>
    <mergeCell ref="A100:K100"/>
    <mergeCell ref="L100:M100"/>
    <mergeCell ref="N100:O100"/>
    <mergeCell ref="P100:R100"/>
    <mergeCell ref="S100:V100"/>
    <mergeCell ref="W100:X100"/>
    <mergeCell ref="A101:K101"/>
    <mergeCell ref="L101:M101"/>
    <mergeCell ref="N101:O101"/>
    <mergeCell ref="P101:R101"/>
    <mergeCell ref="S101:V101"/>
    <mergeCell ref="W101:X101"/>
    <mergeCell ref="A102:K102"/>
    <mergeCell ref="L102:M102"/>
    <mergeCell ref="N102:O102"/>
    <mergeCell ref="P102:R102"/>
    <mergeCell ref="S102:V102"/>
    <mergeCell ref="W102:X102"/>
    <mergeCell ref="A103:K103"/>
    <mergeCell ref="L103:M103"/>
    <mergeCell ref="N103:O103"/>
    <mergeCell ref="P103:R103"/>
    <mergeCell ref="S103:V103"/>
    <mergeCell ref="W103:X103"/>
    <mergeCell ref="A104:K104"/>
    <mergeCell ref="L104:M104"/>
    <mergeCell ref="N104:O104"/>
    <mergeCell ref="P104:R104"/>
    <mergeCell ref="S104:V104"/>
    <mergeCell ref="W104:X104"/>
    <mergeCell ref="A105:K105"/>
    <mergeCell ref="L105:M105"/>
    <mergeCell ref="N105:O105"/>
    <mergeCell ref="P105:R105"/>
    <mergeCell ref="S105:V105"/>
    <mergeCell ref="W105:X105"/>
    <mergeCell ref="A106:K106"/>
    <mergeCell ref="L106:M106"/>
    <mergeCell ref="N106:O106"/>
    <mergeCell ref="P106:R106"/>
    <mergeCell ref="S106:V106"/>
    <mergeCell ref="W106:X106"/>
    <mergeCell ref="A107:K107"/>
    <mergeCell ref="L107:M107"/>
    <mergeCell ref="N107:O107"/>
    <mergeCell ref="P107:R107"/>
    <mergeCell ref="S107:V107"/>
    <mergeCell ref="W107:X107"/>
    <mergeCell ref="A108:K108"/>
    <mergeCell ref="L108:M108"/>
    <mergeCell ref="N108:O108"/>
    <mergeCell ref="P108:R108"/>
    <mergeCell ref="S108:V108"/>
    <mergeCell ref="W108:X108"/>
    <mergeCell ref="A109:K109"/>
    <mergeCell ref="L109:M109"/>
    <mergeCell ref="N109:O109"/>
    <mergeCell ref="P109:R109"/>
    <mergeCell ref="S109:V109"/>
    <mergeCell ref="W109:X109"/>
    <mergeCell ref="A110:K110"/>
    <mergeCell ref="L110:M110"/>
    <mergeCell ref="N110:O110"/>
    <mergeCell ref="P110:R110"/>
    <mergeCell ref="S110:V110"/>
    <mergeCell ref="W110:X110"/>
    <mergeCell ref="A111:K111"/>
    <mergeCell ref="L111:M111"/>
    <mergeCell ref="N111:O111"/>
    <mergeCell ref="P111:R111"/>
    <mergeCell ref="S111:V111"/>
    <mergeCell ref="W111:X111"/>
    <mergeCell ref="A112:K112"/>
    <mergeCell ref="L112:M112"/>
    <mergeCell ref="N112:O112"/>
    <mergeCell ref="P112:R112"/>
    <mergeCell ref="S112:V112"/>
    <mergeCell ref="W112:X112"/>
    <mergeCell ref="A113:K113"/>
    <mergeCell ref="L113:M113"/>
    <mergeCell ref="N113:O113"/>
    <mergeCell ref="P113:R113"/>
    <mergeCell ref="S113:V113"/>
    <mergeCell ref="W113:X113"/>
    <mergeCell ref="A114:K114"/>
    <mergeCell ref="L114:M114"/>
    <mergeCell ref="N114:O114"/>
    <mergeCell ref="P114:R114"/>
    <mergeCell ref="S114:V114"/>
    <mergeCell ref="W114:X114"/>
    <mergeCell ref="A115:X115"/>
    <mergeCell ref="A116:X116"/>
    <mergeCell ref="A117:K117"/>
    <mergeCell ref="L117:M117"/>
    <mergeCell ref="N117:O117"/>
    <mergeCell ref="P117:R117"/>
    <mergeCell ref="S117:V117"/>
    <mergeCell ref="W117:X117"/>
    <mergeCell ref="A118:K118"/>
    <mergeCell ref="L118:M118"/>
    <mergeCell ref="N118:O118"/>
    <mergeCell ref="P118:R118"/>
    <mergeCell ref="S118:V118"/>
    <mergeCell ref="W118:X118"/>
    <mergeCell ref="A119:K119"/>
    <mergeCell ref="L119:M119"/>
    <mergeCell ref="N119:O119"/>
    <mergeCell ref="P119:R119"/>
    <mergeCell ref="S119:V119"/>
    <mergeCell ref="W119:X119"/>
    <mergeCell ref="A120:K120"/>
    <mergeCell ref="L120:M120"/>
    <mergeCell ref="N120:O120"/>
    <mergeCell ref="P120:R120"/>
    <mergeCell ref="S120:V120"/>
    <mergeCell ref="W120:X120"/>
    <mergeCell ref="A121:K121"/>
    <mergeCell ref="L121:M121"/>
    <mergeCell ref="N121:O121"/>
    <mergeCell ref="P121:R121"/>
    <mergeCell ref="S121:V121"/>
    <mergeCell ref="W121:X121"/>
    <mergeCell ref="A122:X122"/>
    <mergeCell ref="A123:K123"/>
    <mergeCell ref="L123:M123"/>
    <mergeCell ref="N123:O123"/>
    <mergeCell ref="P123:R123"/>
    <mergeCell ref="S123:V123"/>
    <mergeCell ref="W123:X123"/>
    <mergeCell ref="A124:K124"/>
    <mergeCell ref="L124:M124"/>
    <mergeCell ref="N124:O124"/>
    <mergeCell ref="P124:R124"/>
    <mergeCell ref="S124:V124"/>
    <mergeCell ref="W124:X124"/>
    <mergeCell ref="A125:K125"/>
    <mergeCell ref="L125:M125"/>
    <mergeCell ref="N125:O125"/>
    <mergeCell ref="P125:R125"/>
    <mergeCell ref="S125:V125"/>
    <mergeCell ref="W125:X125"/>
    <mergeCell ref="A126:K126"/>
    <mergeCell ref="L126:M126"/>
    <mergeCell ref="N126:O126"/>
    <mergeCell ref="P126:R126"/>
    <mergeCell ref="S126:V126"/>
    <mergeCell ref="W126:X126"/>
    <mergeCell ref="A127:K127"/>
    <mergeCell ref="L127:M127"/>
    <mergeCell ref="N127:O127"/>
    <mergeCell ref="P127:R127"/>
    <mergeCell ref="S127:V127"/>
    <mergeCell ref="W127:X127"/>
    <mergeCell ref="A128:X128"/>
    <mergeCell ref="A129:H129"/>
    <mergeCell ref="I129:M129"/>
    <mergeCell ref="N129:Q129"/>
    <mergeCell ref="R129:X129"/>
    <mergeCell ref="A130:H130"/>
    <mergeCell ref="J130:L130"/>
    <mergeCell ref="O130:P130"/>
    <mergeCell ref="Q130:X130"/>
    <mergeCell ref="A131:X131"/>
    <mergeCell ref="A132:H132"/>
    <mergeCell ref="I132:M132"/>
    <mergeCell ref="N132:Q132"/>
    <mergeCell ref="R132:X132"/>
    <mergeCell ref="A133:H133"/>
    <mergeCell ref="J133:L133"/>
    <mergeCell ref="O133:P133"/>
    <mergeCell ref="Q133:X133"/>
    <mergeCell ref="A134:X134"/>
    <mergeCell ref="A135:B135"/>
    <mergeCell ref="C135:H135"/>
    <mergeCell ref="I135:M135"/>
    <mergeCell ref="N135:Q135"/>
    <mergeCell ref="R135:X135"/>
    <mergeCell ref="A138:J138"/>
    <mergeCell ref="K138:X138"/>
    <mergeCell ref="A136:B136"/>
    <mergeCell ref="D136:G136"/>
    <mergeCell ref="J136:L136"/>
    <mergeCell ref="O136:P136"/>
    <mergeCell ref="Q136:X136"/>
    <mergeCell ref="A137:X137"/>
  </mergeCells>
  <printOptions/>
  <pageMargins left="0.3937007874015748" right="0" top="0.36" bottom="0" header="0.37" footer="0.28"/>
  <pageSetup horizontalDpi="600" verticalDpi="600" orientation="landscape" paperSize="9" r:id="rId1"/>
  <headerFooter alignWithMargins="0">
    <oddFooter>&amp;CСтраница &amp;С из &amp;К</oddFooter>
  </headerFooter>
  <rowBreaks count="2" manualBreakCount="2">
    <brk id="28" max="255" man="1"/>
    <brk id="11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1sm</cp:lastModifiedBy>
  <cp:lastPrinted>2015-10-02T06:12:03Z</cp:lastPrinted>
  <dcterms:modified xsi:type="dcterms:W3CDTF">2015-11-02T06:56:16Z</dcterms:modified>
  <cp:category/>
  <cp:version/>
  <cp:contentType/>
  <cp:contentStatus/>
</cp:coreProperties>
</file>