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<sst xmlns="http://schemas.openxmlformats.org/spreadsheetml/2006/main" count="478" uniqueCount="207">
  <si>
    <t>ОТЧЕТ ОБ ИСПОЛНЕНИИ БЮДЖЕТА</t>
  </si>
  <si>
    <t>КОДЫ</t>
  </si>
  <si>
    <t xml:space="preserve">Форма по ОКУД </t>
  </si>
  <si>
    <t>0503117</t>
  </si>
  <si>
    <t>на 1 июля 2013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</si>
  <si>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</si>
  <si>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</si>
  <si>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</si>
  <si>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</si>
  <si>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</si>
  <si>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</si>
  <si>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</si>
  <si>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</si>
  <si>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</si>
  <si>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ОКАТО </t>
  </si>
  <si>
    <t>71126000007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</si>
  <si>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</si>
  <si>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</si>
  <si>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</si>
  <si>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</si>
  <si>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</si>
  <si>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</si>
  <si>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</si>
  <si>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</si>
  <si>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</si>
  <si>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</si>
  <si>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</si>
  <si>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</si>
  <si>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</si>
  <si>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</si>
  <si>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</si>
  <si>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</si>
  <si>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</si>
  <si>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</si>
  <si>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</si>
  <si>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</si>
  <si>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</si>
  <si>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</si>
  <si>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</si>
  <si>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</si>
  <si>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</si>
  <si>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</si>
  <si>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</si>
  <si>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</si>
  <si>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</si>
  <si>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</si>
  <si>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</si>
  <si>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</si>
  <si>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</si>
  <si>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</si>
  <si>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</si>
  <si>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</si>
  <si>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</si>
  <si>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</si>
  <si>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</si>
  <si>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</si>
  <si>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</si>
  <si>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</si>
  <si>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</si>
  <si>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</si>
  <si>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</si>
  <si>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-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</si>
  <si>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</si>
  <si>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</si>
  <si>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</si>
  <si>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</si>
  <si>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</si>
  <si>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</si>
  <si>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</si>
  <si>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</si>
  <si>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</si>
  <si>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</si>
  <si>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</si>
  <si>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</si>
  <si>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</si>
  <si>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</si>
  <si>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</si>
  <si>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</si>
  <si>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</si>
  <si>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</si>
  <si>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</si>
  <si>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</si>
  <si>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</si>
  <si>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</si>
  <si>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</si>
  <si>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</si>
  <si>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</si>
  <si>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</si>
  <si>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</si>
  <si>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</si>
  <si>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</si>
  <si>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</si>
  <si>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</si>
  <si>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</si>
  <si>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Услуги связи</t>
  </si>
  <si>
    <t>650 0104 0020400 242 221</t>
  </si>
  <si>
    <t>Увеличение стоимости материальных запасов</t>
  </si>
  <si>
    <t>650 0104 0020400 242 340</t>
  </si>
  <si>
    <t>650 0104 0020400 244 221</t>
  </si>
  <si>
    <t>650 0104 0020400 244 226</t>
  </si>
  <si>
    <t>Прочие расходы</t>
  </si>
  <si>
    <t>650 0104 0020400 244 290</t>
  </si>
  <si>
    <t>650 0104 0020400 244 340</t>
  </si>
  <si>
    <t>650 0104 0020400 852 290</t>
  </si>
  <si>
    <t>650 0111 0700500 870 290</t>
  </si>
  <si>
    <t>650 0113 0900200 244 226</t>
  </si>
  <si>
    <t>650 0113 0920300 244 340</t>
  </si>
  <si>
    <t>650 0113 0920300 852 290</t>
  </si>
  <si>
    <t>650 0113 0920305 122 212</t>
  </si>
  <si>
    <t>Работы, услуги по содержанию имущества</t>
  </si>
  <si>
    <t>650 0113 0939900 242 225</t>
  </si>
  <si>
    <t>Коммунальные услуги</t>
  </si>
  <si>
    <t>650 0113 0939900 244 223</t>
  </si>
  <si>
    <t>650 0113 0939900 244 225</t>
  </si>
  <si>
    <t>650 0113 0939900 244 226</t>
  </si>
  <si>
    <t>Увеличение стоимости основных средств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</si>
  <si>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</si>
  <si>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</si>
  <si>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</si>
  <si>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</si>
  <si>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</si>
  <si>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</si>
  <si>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650 0304 0013801 121 211</t>
  </si>
  <si>
    <t>650 0304 0013801 121 213</t>
  </si>
  <si>
    <t>650 0304 0013801 244 340</t>
  </si>
  <si>
    <t>650 0309 2180100 244 225</t>
  </si>
  <si>
    <t>650 0309 2180100 244 226</t>
  </si>
  <si>
    <t>650 0309 2180100 244 310</t>
  </si>
  <si>
    <t>650 0309 2180100 244 340</t>
  </si>
  <si>
    <t>650 0314 5222501 244 226</t>
  </si>
  <si>
    <t>650 0314 7950300 244 226</t>
  </si>
  <si>
    <t>650 0409 3150102 244 225</t>
  </si>
  <si>
    <t>650 0409 3150102 244 226</t>
  </si>
  <si>
    <t>650 0409 3150102 244 310</t>
  </si>
  <si>
    <t>650 0409 5227000 243 225</t>
  </si>
  <si>
    <t>650 0410 3300200 242 221</t>
  </si>
  <si>
    <t>650 0410 3300200 242 225</t>
  </si>
  <si>
    <t>650 0410 3300200 242 226</t>
  </si>
  <si>
    <t>650 0410 3300200 242 310</t>
  </si>
  <si>
    <t>650 0410 3300200 242 340</t>
  </si>
  <si>
    <t>650 0503 5227000 244 225</t>
  </si>
  <si>
    <t>650 0503 5227000 244 310</t>
  </si>
  <si>
    <t>650 0503 6000100 244 223</t>
  </si>
  <si>
    <t>650 0503 6000100 244 225</t>
  </si>
  <si>
    <t>650 0503 6000100 244 226</t>
  </si>
  <si>
    <t>650 0503 6000200 244 225</t>
  </si>
  <si>
    <t>650 0503 6000200 244 226</t>
  </si>
  <si>
    <t>650 0503 6000200 244 310</t>
  </si>
  <si>
    <t>650 0503 6000500 244 225</t>
  </si>
  <si>
    <t>650 0503 6000500 244 226</t>
  </si>
  <si>
    <t>650 0707 4310100 244 222</t>
  </si>
  <si>
    <t>650 0707 4310100 244 290</t>
  </si>
  <si>
    <t>650 0707 4310100 244 310</t>
  </si>
  <si>
    <t>650 0707 4310100 244 340</t>
  </si>
  <si>
    <t>Безвозмездные перечисления государственным и муниципальным организациям</t>
  </si>
  <si>
    <t>650 0801 4409900 611 241</t>
  </si>
  <si>
    <t>650 0801 4409900 612 241</t>
  </si>
  <si>
    <t>Пенсии, пособия, выплачиваемые организациями сектора государственного управления</t>
  </si>
  <si>
    <t>650 1001 4910100 313 263</t>
  </si>
  <si>
    <t>Пособия по социальной помощи населению</t>
  </si>
  <si>
    <t>650 1003 5140100 313 262</t>
  </si>
  <si>
    <t>650 1101 4829900 111 211</t>
  </si>
  <si>
    <t>650 1101 4829900 111 213</t>
  </si>
  <si>
    <t>650 1101 4829900 112 212</t>
  </si>
  <si>
    <t>650 1101 4829900 112 222</t>
  </si>
  <si>
    <t>650 1101 4829900 242 221</t>
  </si>
  <si>
    <t>650 1101 4829900 242 225</t>
  </si>
  <si>
    <t>650 1101 4829900 242 226</t>
  </si>
  <si>
    <t>650 1101 4829900 244 223</t>
  </si>
  <si>
    <t>650 1101 4829900 244 225</t>
  </si>
  <si>
    <t>650 1101 4829900 244 226</t>
  </si>
  <si>
    <t>650 1101 4829900 244 290</t>
  </si>
  <si>
    <t>650 1101 4829900 244 310</t>
  </si>
  <si>
    <t>650 1101 4829900 244 340</t>
  </si>
  <si>
    <t>650 1101 4829900 852 290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</si>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</sst>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A106">
      <selection activeCell="A142" sqref="A142:J14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851562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6" t="s">
        <v>5</v>
      </c>
      <c r="W3" s="56"/>
      <c r="X3" s="4">
        <v>41456</v>
      </c>
    </row>
    <row r="4" spans="1:24" s="1" customFormat="1" ht="13.5" customHeight="1">
      <c r="A4" s="9" t="s">
        <v>6</v>
      </c>
      <c r="B4" s="9"/>
      <c r="C4" s="9"/>
      <c r="D4" s="9"/>
      <c r="E4" s="9"/>
      <c r="F4" s="55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 t="s">
        <v>8</v>
      </c>
      <c r="V4" s="56"/>
      <c r="W4" s="56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 t="s">
        <v>9</v>
      </c>
      <c r="V5" s="56"/>
      <c r="W5" s="56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5" t="s">
        <v>13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 t="s">
        <v>14</v>
      </c>
      <c r="V6" s="56"/>
      <c r="W6" s="56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56" t="s">
        <v>21</v>
      </c>
      <c r="U8" s="56"/>
      <c r="V8" s="56"/>
      <c r="W8" s="56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54720977.39</f>
        <v>54720977.39</v>
      </c>
      <c r="Q12" s="37"/>
      <c r="R12" s="37"/>
      <c r="S12" s="37">
        <f>29436349.28</f>
        <v>29436349.28</v>
      </c>
      <c r="T12" s="37"/>
      <c r="U12" s="37"/>
      <c r="V12" s="37"/>
      <c r="W12" s="51">
        <f>25284628.11</f>
        <v>25284628.11</v>
      </c>
      <c r="X12" s="51"/>
    </row>
    <row r="13" spans="1:24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3">
        <f>2000000</f>
        <v>2000000</v>
      </c>
      <c r="Q13" s="53"/>
      <c r="R13" s="53"/>
      <c r="S13" s="53">
        <f>790329.82</f>
        <v>790329.82</v>
      </c>
      <c r="T13" s="53"/>
      <c r="U13" s="53"/>
      <c r="V13" s="53"/>
      <c r="W13" s="54">
        <f>1209670.18</f>
        <v>1209670.18</v>
      </c>
      <c r="X13" s="54"/>
    </row>
    <row r="14" spans="1:24" s="1" customFormat="1" ht="24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3">
        <f>75000</f>
        <v>75000</v>
      </c>
      <c r="Q14" s="53"/>
      <c r="R14" s="53"/>
      <c r="S14" s="53">
        <f>19355.01</f>
        <v>19355.01</v>
      </c>
      <c r="T14" s="53"/>
      <c r="U14" s="53"/>
      <c r="V14" s="53"/>
      <c r="W14" s="54">
        <f>55644.99</f>
        <v>55644.99</v>
      </c>
      <c r="X14" s="54"/>
    </row>
    <row r="15" spans="1:24" s="1" customFormat="1" ht="4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3">
        <f>3687000</f>
        <v>3687000</v>
      </c>
      <c r="Q15" s="53"/>
      <c r="R15" s="53"/>
      <c r="S15" s="53">
        <f>1895668.66</f>
        <v>1895668.66</v>
      </c>
      <c r="T15" s="53"/>
      <c r="U15" s="53"/>
      <c r="V15" s="53"/>
      <c r="W15" s="54">
        <f>1791331.34</f>
        <v>1791331.34</v>
      </c>
      <c r="X15" s="54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53">
        <f>35000</f>
        <v>35000</v>
      </c>
      <c r="Q16" s="53"/>
      <c r="R16" s="53"/>
      <c r="S16" s="53">
        <f>11440.3</f>
        <v>11440.3</v>
      </c>
      <c r="T16" s="53"/>
      <c r="U16" s="53"/>
      <c r="V16" s="53"/>
      <c r="W16" s="54">
        <f>23559.7</f>
        <v>23559.7</v>
      </c>
      <c r="X16" s="54"/>
    </row>
    <row r="17" spans="1:24" s="1" customFormat="1" ht="24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48</v>
      </c>
      <c r="O17" s="28"/>
      <c r="P17" s="53">
        <f>25000</f>
        <v>25000</v>
      </c>
      <c r="Q17" s="53"/>
      <c r="R17" s="53"/>
      <c r="S17" s="53">
        <f>2833.23</f>
        <v>2833.23</v>
      </c>
      <c r="T17" s="53"/>
      <c r="U17" s="53"/>
      <c r="V17" s="53"/>
      <c r="W17" s="54">
        <f>22166.77</f>
        <v>22166.77</v>
      </c>
      <c r="X17" s="54"/>
    </row>
    <row r="18" spans="1:24" s="1" customFormat="1" ht="24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50</v>
      </c>
      <c r="O18" s="28"/>
      <c r="P18" s="53">
        <f>118200</f>
        <v>118200</v>
      </c>
      <c r="Q18" s="53"/>
      <c r="R18" s="53"/>
      <c r="S18" s="53">
        <f>26047.86</f>
        <v>26047.86</v>
      </c>
      <c r="T18" s="53"/>
      <c r="U18" s="53"/>
      <c r="V18" s="53"/>
      <c r="W18" s="54">
        <f>92152.14</f>
        <v>92152.14</v>
      </c>
      <c r="X18" s="54"/>
    </row>
    <row r="19" spans="1:24" s="1" customFormat="1" ht="45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52</v>
      </c>
      <c r="O19" s="28"/>
      <c r="P19" s="53">
        <f>22300</f>
        <v>22300</v>
      </c>
      <c r="Q19" s="53"/>
      <c r="R19" s="53"/>
      <c r="S19" s="53">
        <f>9364.3</f>
        <v>9364.3</v>
      </c>
      <c r="T19" s="53"/>
      <c r="U19" s="53"/>
      <c r="V19" s="53"/>
      <c r="W19" s="54">
        <f>12935.7</f>
        <v>12935.7</v>
      </c>
      <c r="X19" s="54"/>
    </row>
    <row r="20" spans="1:24" s="1" customFormat="1" ht="4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54</v>
      </c>
      <c r="O20" s="28"/>
      <c r="P20" s="53">
        <f>33800</f>
        <v>33800</v>
      </c>
      <c r="Q20" s="53"/>
      <c r="R20" s="53"/>
      <c r="S20" s="53">
        <f>3036.16</f>
        <v>3036.16</v>
      </c>
      <c r="T20" s="53"/>
      <c r="U20" s="53"/>
      <c r="V20" s="53"/>
      <c r="W20" s="54">
        <f>30763.84</f>
        <v>30763.84</v>
      </c>
      <c r="X20" s="54"/>
    </row>
    <row r="21" spans="1:24" s="1" customFormat="1" ht="4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56</v>
      </c>
      <c r="O21" s="28"/>
      <c r="P21" s="53">
        <f>80000</f>
        <v>80000</v>
      </c>
      <c r="Q21" s="53"/>
      <c r="R21" s="53"/>
      <c r="S21" s="53">
        <f>40330</f>
        <v>40330</v>
      </c>
      <c r="T21" s="53"/>
      <c r="U21" s="53"/>
      <c r="V21" s="53"/>
      <c r="W21" s="54">
        <f>39670</f>
        <v>39670</v>
      </c>
      <c r="X21" s="54"/>
    </row>
    <row r="22" spans="1:24" s="1" customFormat="1" ht="13.5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58</v>
      </c>
      <c r="O22" s="28"/>
      <c r="P22" s="53">
        <f>40000</f>
        <v>40000</v>
      </c>
      <c r="Q22" s="53"/>
      <c r="R22" s="53"/>
      <c r="S22" s="53">
        <f>145332.55</f>
        <v>145332.55</v>
      </c>
      <c r="T22" s="53"/>
      <c r="U22" s="53"/>
      <c r="V22" s="53"/>
      <c r="W22" s="54">
        <f>-105332.55</f>
        <v>-105332.55</v>
      </c>
      <c r="X22" s="54"/>
    </row>
    <row r="23" spans="1:24" s="1" customFormat="1" ht="13.5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60</v>
      </c>
      <c r="O23" s="28"/>
      <c r="P23" s="30" t="s">
        <v>61</v>
      </c>
      <c r="Q23" s="30"/>
      <c r="R23" s="30"/>
      <c r="S23" s="53">
        <f>0</f>
        <v>0</v>
      </c>
      <c r="T23" s="53"/>
      <c r="U23" s="53"/>
      <c r="V23" s="53"/>
      <c r="W23" s="54">
        <f>0</f>
        <v>0</v>
      </c>
      <c r="X23" s="54"/>
    </row>
    <row r="24" spans="1:24" s="1" customFormat="1" ht="13.5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3">
        <f>20847500</f>
        <v>20847500</v>
      </c>
      <c r="Q24" s="53"/>
      <c r="R24" s="53"/>
      <c r="S24" s="53">
        <f>10423750</f>
        <v>10423750</v>
      </c>
      <c r="T24" s="53"/>
      <c r="U24" s="53"/>
      <c r="V24" s="53"/>
      <c r="W24" s="54">
        <f>10423750</f>
        <v>10423750</v>
      </c>
      <c r="X24" s="54"/>
    </row>
    <row r="25" spans="1:24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53">
        <f>26691000</f>
        <v>26691000</v>
      </c>
      <c r="Q25" s="53"/>
      <c r="R25" s="53"/>
      <c r="S25" s="53">
        <f>15084034</f>
        <v>15084034</v>
      </c>
      <c r="T25" s="53"/>
      <c r="U25" s="53"/>
      <c r="V25" s="53"/>
      <c r="W25" s="54">
        <f>11606966</f>
        <v>11606966</v>
      </c>
      <c r="X25" s="54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3">
        <f>33620</f>
        <v>33620</v>
      </c>
      <c r="Q26" s="53"/>
      <c r="R26" s="53"/>
      <c r="S26" s="53">
        <f>33620</f>
        <v>33620</v>
      </c>
      <c r="T26" s="53"/>
      <c r="U26" s="53"/>
      <c r="V26" s="53"/>
      <c r="W26" s="54">
        <f>0</f>
        <v>0</v>
      </c>
      <c r="X26" s="54"/>
    </row>
    <row r="27" spans="1:24" s="1" customFormat="1" ht="24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53">
        <f>144000</f>
        <v>144000</v>
      </c>
      <c r="Q27" s="53"/>
      <c r="R27" s="53"/>
      <c r="S27" s="53">
        <f>144000</f>
        <v>144000</v>
      </c>
      <c r="T27" s="53"/>
      <c r="U27" s="53"/>
      <c r="V27" s="53"/>
      <c r="W27" s="54">
        <f>0</f>
        <v>0</v>
      </c>
      <c r="X27" s="54"/>
    </row>
    <row r="28" spans="1:24" s="1" customFormat="1" ht="33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53">
        <f>72500</f>
        <v>72500</v>
      </c>
      <c r="Q28" s="53"/>
      <c r="R28" s="53"/>
      <c r="S28" s="53">
        <f>36250</f>
        <v>36250</v>
      </c>
      <c r="T28" s="53"/>
      <c r="U28" s="53"/>
      <c r="V28" s="53"/>
      <c r="W28" s="54">
        <f>36250</f>
        <v>36250</v>
      </c>
      <c r="X28" s="54"/>
    </row>
    <row r="29" spans="1:24" s="1" customFormat="1" ht="13.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53">
        <f>816838</f>
        <v>816838</v>
      </c>
      <c r="Q29" s="53"/>
      <c r="R29" s="53"/>
      <c r="S29" s="53">
        <f>771738</f>
        <v>771738</v>
      </c>
      <c r="T29" s="53"/>
      <c r="U29" s="53"/>
      <c r="V29" s="53"/>
      <c r="W29" s="54">
        <f>45100</f>
        <v>45100</v>
      </c>
      <c r="X29" s="54"/>
    </row>
    <row r="30" spans="1:24" s="1" customFormat="1" ht="54.75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30" t="s">
        <v>61</v>
      </c>
      <c r="Q30" s="30"/>
      <c r="R30" s="30"/>
      <c r="S30" s="53">
        <f>0</f>
        <v>0</v>
      </c>
      <c r="T30" s="53"/>
      <c r="U30" s="53"/>
      <c r="V30" s="53"/>
      <c r="W30" s="54">
        <f>0</f>
        <v>0</v>
      </c>
      <c r="X30" s="54"/>
    </row>
    <row r="31" spans="1:24" s="1" customFormat="1" ht="24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53">
        <f>-780.61</f>
        <v>-780.61</v>
      </c>
      <c r="Q31" s="53"/>
      <c r="R31" s="53"/>
      <c r="S31" s="53">
        <f>-780.61</f>
        <v>-780.61</v>
      </c>
      <c r="T31" s="53"/>
      <c r="U31" s="53"/>
      <c r="V31" s="53"/>
      <c r="W31" s="54">
        <f>0</f>
        <v>0</v>
      </c>
      <c r="X31" s="54"/>
    </row>
    <row r="32" spans="1:24" s="1" customFormat="1" ht="13.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1" customFormat="1" ht="13.5" customHeight="1">
      <c r="A33" s="42" t="s">
        <v>78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s="1" customFormat="1" ht="34.5" customHeight="1">
      <c r="A34" s="43" t="s">
        <v>24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 t="s">
        <v>25</v>
      </c>
      <c r="M34" s="43"/>
      <c r="N34" s="43" t="s">
        <v>79</v>
      </c>
      <c r="O34" s="43"/>
      <c r="P34" s="44" t="s">
        <v>27</v>
      </c>
      <c r="Q34" s="44"/>
      <c r="R34" s="44"/>
      <c r="S34" s="44" t="s">
        <v>28</v>
      </c>
      <c r="T34" s="44"/>
      <c r="U34" s="44"/>
      <c r="V34" s="44"/>
      <c r="W34" s="45" t="s">
        <v>29</v>
      </c>
      <c r="X34" s="45"/>
    </row>
    <row r="35" spans="1:24" s="1" customFormat="1" ht="13.5" customHeight="1">
      <c r="A35" s="39" t="s">
        <v>30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 t="s">
        <v>31</v>
      </c>
      <c r="M35" s="39"/>
      <c r="N35" s="39" t="s">
        <v>32</v>
      </c>
      <c r="O35" s="39"/>
      <c r="P35" s="40" t="s">
        <v>33</v>
      </c>
      <c r="Q35" s="40"/>
      <c r="R35" s="40"/>
      <c r="S35" s="40" t="s">
        <v>34</v>
      </c>
      <c r="T35" s="40"/>
      <c r="U35" s="40"/>
      <c r="V35" s="40"/>
      <c r="W35" s="41" t="s">
        <v>35</v>
      </c>
      <c r="X35" s="41"/>
    </row>
    <row r="36" spans="1:24" s="1" customFormat="1" ht="13.5" customHeight="1">
      <c r="A36" s="34" t="s">
        <v>80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 t="s">
        <v>81</v>
      </c>
      <c r="M36" s="35"/>
      <c r="N36" s="35" t="s">
        <v>38</v>
      </c>
      <c r="O36" s="35"/>
      <c r="P36" s="37">
        <f>59865899.81</f>
        <v>59865899.81</v>
      </c>
      <c r="Q36" s="37"/>
      <c r="R36" s="37"/>
      <c r="S36" s="37">
        <f>27332853.28</f>
        <v>27332853.28</v>
      </c>
      <c r="T36" s="37"/>
      <c r="U36" s="37"/>
      <c r="V36" s="37"/>
      <c r="W36" s="51">
        <f>32533046.53</f>
        <v>32533046.53</v>
      </c>
      <c r="X36" s="51"/>
    </row>
    <row r="37" spans="1:24" s="1" customFormat="1" ht="13.5" customHeight="1">
      <c r="A37" s="13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 t="s">
        <v>81</v>
      </c>
      <c r="M37" s="14"/>
      <c r="N37" s="14" t="s">
        <v>83</v>
      </c>
      <c r="O37" s="14"/>
      <c r="P37" s="16">
        <f>1405052</f>
        <v>1405052</v>
      </c>
      <c r="Q37" s="16"/>
      <c r="R37" s="16"/>
      <c r="S37" s="16">
        <f>628599.27</f>
        <v>628599.27</v>
      </c>
      <c r="T37" s="16"/>
      <c r="U37" s="16"/>
      <c r="V37" s="16"/>
      <c r="W37" s="50">
        <f>776452.73</f>
        <v>776452.73</v>
      </c>
      <c r="X37" s="50"/>
    </row>
    <row r="38" spans="1:24" s="1" customFormat="1" ht="13.5" customHeight="1">
      <c r="A38" s="13" t="s">
        <v>84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 t="s">
        <v>81</v>
      </c>
      <c r="M38" s="14"/>
      <c r="N38" s="14" t="s">
        <v>85</v>
      </c>
      <c r="O38" s="14"/>
      <c r="P38" s="16">
        <f>242905.2</f>
        <v>242905.2</v>
      </c>
      <c r="Q38" s="16"/>
      <c r="R38" s="16"/>
      <c r="S38" s="16">
        <f>161255.15</f>
        <v>161255.15</v>
      </c>
      <c r="T38" s="16"/>
      <c r="U38" s="16"/>
      <c r="V38" s="16"/>
      <c r="W38" s="50">
        <f>81650.05</f>
        <v>81650.05</v>
      </c>
      <c r="X38" s="50"/>
    </row>
    <row r="39" spans="1:24" s="1" customFormat="1" ht="13.5" customHeight="1">
      <c r="A39" s="13" t="s">
        <v>82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81</v>
      </c>
      <c r="M39" s="14"/>
      <c r="N39" s="14" t="s">
        <v>86</v>
      </c>
      <c r="O39" s="14"/>
      <c r="P39" s="16">
        <f>9253706.16</f>
        <v>9253706.16</v>
      </c>
      <c r="Q39" s="16"/>
      <c r="R39" s="16"/>
      <c r="S39" s="16">
        <f>3573117.74</f>
        <v>3573117.74</v>
      </c>
      <c r="T39" s="16"/>
      <c r="U39" s="16"/>
      <c r="V39" s="16"/>
      <c r="W39" s="50">
        <f>5680588.42</f>
        <v>5680588.42</v>
      </c>
      <c r="X39" s="50"/>
    </row>
    <row r="40" spans="1:24" s="1" customFormat="1" ht="13.5" customHeight="1">
      <c r="A40" s="13" t="s">
        <v>84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81</v>
      </c>
      <c r="M40" s="14"/>
      <c r="N40" s="14" t="s">
        <v>87</v>
      </c>
      <c r="O40" s="14"/>
      <c r="P40" s="16">
        <f>2280000</f>
        <v>2280000</v>
      </c>
      <c r="Q40" s="16"/>
      <c r="R40" s="16"/>
      <c r="S40" s="16">
        <f>1079599.64</f>
        <v>1079599.64</v>
      </c>
      <c r="T40" s="16"/>
      <c r="U40" s="16"/>
      <c r="V40" s="16"/>
      <c r="W40" s="50">
        <f>1200400.36</f>
        <v>1200400.36</v>
      </c>
      <c r="X40" s="50"/>
    </row>
    <row r="41" spans="1:24" s="1" customFormat="1" ht="13.5" customHeight="1">
      <c r="A41" s="13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81</v>
      </c>
      <c r="M41" s="14"/>
      <c r="N41" s="14" t="s">
        <v>89</v>
      </c>
      <c r="O41" s="14"/>
      <c r="P41" s="16">
        <f>8400</f>
        <v>8400</v>
      </c>
      <c r="Q41" s="16"/>
      <c r="R41" s="16"/>
      <c r="S41" s="16">
        <f>3900</f>
        <v>3900</v>
      </c>
      <c r="T41" s="16"/>
      <c r="U41" s="16"/>
      <c r="V41" s="16"/>
      <c r="W41" s="50">
        <f>4500</f>
        <v>4500</v>
      </c>
      <c r="X41" s="50"/>
    </row>
    <row r="42" spans="1:24" s="1" customFormat="1" ht="13.5" customHeight="1">
      <c r="A42" s="13" t="s">
        <v>90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81</v>
      </c>
      <c r="M42" s="14"/>
      <c r="N42" s="14" t="s">
        <v>91</v>
      </c>
      <c r="O42" s="14"/>
      <c r="P42" s="16">
        <f>3000</f>
        <v>3000</v>
      </c>
      <c r="Q42" s="16"/>
      <c r="R42" s="16"/>
      <c r="S42" s="16">
        <f>600</f>
        <v>600</v>
      </c>
      <c r="T42" s="16"/>
      <c r="U42" s="16"/>
      <c r="V42" s="16"/>
      <c r="W42" s="50">
        <f>2400</f>
        <v>2400</v>
      </c>
      <c r="X42" s="50"/>
    </row>
    <row r="43" spans="1:24" s="1" customFormat="1" ht="13.5" customHeight="1">
      <c r="A43" s="13" t="s">
        <v>92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81</v>
      </c>
      <c r="M43" s="14"/>
      <c r="N43" s="14" t="s">
        <v>93</v>
      </c>
      <c r="O43" s="14"/>
      <c r="P43" s="16">
        <f>9900</f>
        <v>9900</v>
      </c>
      <c r="Q43" s="16"/>
      <c r="R43" s="16"/>
      <c r="S43" s="16">
        <f>5084</f>
        <v>5084</v>
      </c>
      <c r="T43" s="16"/>
      <c r="U43" s="16"/>
      <c r="V43" s="16"/>
      <c r="W43" s="50">
        <f>4816</f>
        <v>4816</v>
      </c>
      <c r="X43" s="50"/>
    </row>
    <row r="44" spans="1:24" s="1" customFormat="1" ht="13.5" customHeight="1">
      <c r="A44" s="13" t="s">
        <v>94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81</v>
      </c>
      <c r="M44" s="14"/>
      <c r="N44" s="14" t="s">
        <v>95</v>
      </c>
      <c r="O44" s="14"/>
      <c r="P44" s="16">
        <f>0</f>
        <v>0</v>
      </c>
      <c r="Q44" s="16"/>
      <c r="R44" s="16"/>
      <c r="S44" s="20" t="s">
        <v>61</v>
      </c>
      <c r="T44" s="20"/>
      <c r="U44" s="20"/>
      <c r="V44" s="20"/>
      <c r="W44" s="50">
        <f>0</f>
        <v>0</v>
      </c>
      <c r="X44" s="50"/>
    </row>
    <row r="45" spans="1:24" s="1" customFormat="1" ht="13.5" customHeight="1">
      <c r="A45" s="13" t="s">
        <v>96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81</v>
      </c>
      <c r="M45" s="14"/>
      <c r="N45" s="14" t="s">
        <v>97</v>
      </c>
      <c r="O45" s="14"/>
      <c r="P45" s="16">
        <f>0</f>
        <v>0</v>
      </c>
      <c r="Q45" s="16"/>
      <c r="R45" s="16"/>
      <c r="S45" s="20" t="s">
        <v>61</v>
      </c>
      <c r="T45" s="20"/>
      <c r="U45" s="20"/>
      <c r="V45" s="20"/>
      <c r="W45" s="50">
        <f>0</f>
        <v>0</v>
      </c>
      <c r="X45" s="50"/>
    </row>
    <row r="46" spans="1:24" s="1" customFormat="1" ht="13.5" customHeight="1">
      <c r="A46" s="13" t="s">
        <v>94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81</v>
      </c>
      <c r="M46" s="14"/>
      <c r="N46" s="14" t="s">
        <v>98</v>
      </c>
      <c r="O46" s="14"/>
      <c r="P46" s="16">
        <f>6500</f>
        <v>6500</v>
      </c>
      <c r="Q46" s="16"/>
      <c r="R46" s="16"/>
      <c r="S46" s="16">
        <f>2329.05</f>
        <v>2329.05</v>
      </c>
      <c r="T46" s="16"/>
      <c r="U46" s="16"/>
      <c r="V46" s="16"/>
      <c r="W46" s="50">
        <f>4170.95</f>
        <v>4170.95</v>
      </c>
      <c r="X46" s="50"/>
    </row>
    <row r="47" spans="1:24" s="1" customFormat="1" ht="13.5" customHeight="1">
      <c r="A47" s="13" t="s">
        <v>92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81</v>
      </c>
      <c r="M47" s="14"/>
      <c r="N47" s="14" t="s">
        <v>99</v>
      </c>
      <c r="O47" s="14"/>
      <c r="P47" s="16">
        <f>171309.84</f>
        <v>171309.84</v>
      </c>
      <c r="Q47" s="16"/>
      <c r="R47" s="16"/>
      <c r="S47" s="16">
        <f>87209.84</f>
        <v>87209.84</v>
      </c>
      <c r="T47" s="16"/>
      <c r="U47" s="16"/>
      <c r="V47" s="16"/>
      <c r="W47" s="50">
        <f>84100</f>
        <v>84100</v>
      </c>
      <c r="X47" s="50"/>
    </row>
    <row r="48" spans="1:24" s="1" customFormat="1" ht="13.5" customHeight="1">
      <c r="A48" s="13" t="s">
        <v>100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81</v>
      </c>
      <c r="M48" s="14"/>
      <c r="N48" s="14" t="s">
        <v>101</v>
      </c>
      <c r="O48" s="14"/>
      <c r="P48" s="16">
        <f>206000</f>
        <v>206000</v>
      </c>
      <c r="Q48" s="16"/>
      <c r="R48" s="16"/>
      <c r="S48" s="16">
        <f>67500</f>
        <v>67500</v>
      </c>
      <c r="T48" s="16"/>
      <c r="U48" s="16"/>
      <c r="V48" s="16"/>
      <c r="W48" s="50">
        <f>138500</f>
        <v>138500</v>
      </c>
      <c r="X48" s="50"/>
    </row>
    <row r="49" spans="1:24" s="1" customFormat="1" ht="13.5" customHeight="1">
      <c r="A49" s="13" t="s">
        <v>96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81</v>
      </c>
      <c r="M49" s="14"/>
      <c r="N49" s="14" t="s">
        <v>102</v>
      </c>
      <c r="O49" s="14"/>
      <c r="P49" s="16">
        <f>66970.16</f>
        <v>66970.16</v>
      </c>
      <c r="Q49" s="16"/>
      <c r="R49" s="16"/>
      <c r="S49" s="16">
        <f>37475.5</f>
        <v>37475.5</v>
      </c>
      <c r="T49" s="16"/>
      <c r="U49" s="16"/>
      <c r="V49" s="16"/>
      <c r="W49" s="50">
        <f>29494.66</f>
        <v>29494.66</v>
      </c>
      <c r="X49" s="50"/>
    </row>
    <row r="50" spans="1:24" s="1" customFormat="1" ht="13.5" customHeight="1">
      <c r="A50" s="13" t="s">
        <v>100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81</v>
      </c>
      <c r="M50" s="14"/>
      <c r="N50" s="14" t="s">
        <v>103</v>
      </c>
      <c r="O50" s="14"/>
      <c r="P50" s="16">
        <f>27736.1</f>
        <v>27736.1</v>
      </c>
      <c r="Q50" s="16"/>
      <c r="R50" s="16"/>
      <c r="S50" s="16">
        <f>13236.1</f>
        <v>13236.1</v>
      </c>
      <c r="T50" s="16"/>
      <c r="U50" s="16"/>
      <c r="V50" s="16"/>
      <c r="W50" s="50">
        <f>14500</f>
        <v>14500</v>
      </c>
      <c r="X50" s="50"/>
    </row>
    <row r="51" spans="1:24" s="1" customFormat="1" ht="13.5" customHeight="1">
      <c r="A51" s="13" t="s">
        <v>100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81</v>
      </c>
      <c r="M51" s="14"/>
      <c r="N51" s="14" t="s">
        <v>104</v>
      </c>
      <c r="O51" s="14"/>
      <c r="P51" s="16">
        <f>365000</f>
        <v>365000</v>
      </c>
      <c r="Q51" s="16"/>
      <c r="R51" s="16"/>
      <c r="S51" s="20" t="s">
        <v>61</v>
      </c>
      <c r="T51" s="20"/>
      <c r="U51" s="20"/>
      <c r="V51" s="20"/>
      <c r="W51" s="50">
        <f>365000</f>
        <v>365000</v>
      </c>
      <c r="X51" s="50"/>
    </row>
    <row r="52" spans="1:24" s="1" customFormat="1" ht="13.5" customHeight="1">
      <c r="A52" s="13" t="s">
        <v>92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81</v>
      </c>
      <c r="M52" s="14"/>
      <c r="N52" s="14" t="s">
        <v>105</v>
      </c>
      <c r="O52" s="14"/>
      <c r="P52" s="16">
        <f>8536.9</f>
        <v>8536.9</v>
      </c>
      <c r="Q52" s="16"/>
      <c r="R52" s="16"/>
      <c r="S52" s="16">
        <f>8536.9</f>
        <v>8536.9</v>
      </c>
      <c r="T52" s="16"/>
      <c r="U52" s="16"/>
      <c r="V52" s="16"/>
      <c r="W52" s="50">
        <f>0</f>
        <v>0</v>
      </c>
      <c r="X52" s="50"/>
    </row>
    <row r="53" spans="1:24" s="1" customFormat="1" ht="13.5" customHeight="1">
      <c r="A53" s="13" t="s">
        <v>96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81</v>
      </c>
      <c r="M53" s="14"/>
      <c r="N53" s="14" t="s">
        <v>106</v>
      </c>
      <c r="O53" s="14"/>
      <c r="P53" s="16">
        <f>6128</f>
        <v>6128</v>
      </c>
      <c r="Q53" s="16"/>
      <c r="R53" s="16"/>
      <c r="S53" s="20" t="s">
        <v>61</v>
      </c>
      <c r="T53" s="20"/>
      <c r="U53" s="20"/>
      <c r="V53" s="20"/>
      <c r="W53" s="50">
        <f>6128</f>
        <v>6128</v>
      </c>
      <c r="X53" s="50"/>
    </row>
    <row r="54" spans="1:24" s="1" customFormat="1" ht="13.5" customHeight="1">
      <c r="A54" s="13" t="s">
        <v>100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81</v>
      </c>
      <c r="M54" s="14"/>
      <c r="N54" s="14" t="s">
        <v>107</v>
      </c>
      <c r="O54" s="14"/>
      <c r="P54" s="16">
        <f>100</f>
        <v>100</v>
      </c>
      <c r="Q54" s="16"/>
      <c r="R54" s="16"/>
      <c r="S54" s="16">
        <f>0.14</f>
        <v>0.14</v>
      </c>
      <c r="T54" s="16"/>
      <c r="U54" s="16"/>
      <c r="V54" s="16"/>
      <c r="W54" s="50">
        <f>99.86</f>
        <v>99.86</v>
      </c>
      <c r="X54" s="50"/>
    </row>
    <row r="55" spans="1:24" s="1" customFormat="1" ht="13.5" customHeight="1">
      <c r="A55" s="13" t="s">
        <v>88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81</v>
      </c>
      <c r="M55" s="14"/>
      <c r="N55" s="14" t="s">
        <v>108</v>
      </c>
      <c r="O55" s="14"/>
      <c r="P55" s="16">
        <f>1070000</f>
        <v>1070000</v>
      </c>
      <c r="Q55" s="16"/>
      <c r="R55" s="16"/>
      <c r="S55" s="16">
        <f>442831</f>
        <v>442831</v>
      </c>
      <c r="T55" s="16"/>
      <c r="U55" s="16"/>
      <c r="V55" s="16"/>
      <c r="W55" s="50">
        <f>627169</f>
        <v>627169</v>
      </c>
      <c r="X55" s="50"/>
    </row>
    <row r="56" spans="1:24" s="1" customFormat="1" ht="13.5" customHeight="1">
      <c r="A56" s="13" t="s">
        <v>109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81</v>
      </c>
      <c r="M56" s="14"/>
      <c r="N56" s="14" t="s">
        <v>110</v>
      </c>
      <c r="O56" s="14"/>
      <c r="P56" s="16">
        <f>0</f>
        <v>0</v>
      </c>
      <c r="Q56" s="16"/>
      <c r="R56" s="16"/>
      <c r="S56" s="20" t="s">
        <v>61</v>
      </c>
      <c r="T56" s="20"/>
      <c r="U56" s="20"/>
      <c r="V56" s="20"/>
      <c r="W56" s="50">
        <f>0</f>
        <v>0</v>
      </c>
      <c r="X56" s="50"/>
    </row>
    <row r="57" spans="1:24" s="1" customFormat="1" ht="13.5" customHeight="1">
      <c r="A57" s="13" t="s">
        <v>111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81</v>
      </c>
      <c r="M57" s="14"/>
      <c r="N57" s="14" t="s">
        <v>112</v>
      </c>
      <c r="O57" s="14"/>
      <c r="P57" s="16">
        <f>248523.87</f>
        <v>248523.87</v>
      </c>
      <c r="Q57" s="16"/>
      <c r="R57" s="16"/>
      <c r="S57" s="16">
        <f>116284.29</f>
        <v>116284.29</v>
      </c>
      <c r="T57" s="16"/>
      <c r="U57" s="16"/>
      <c r="V57" s="16"/>
      <c r="W57" s="50">
        <f>132239.58</f>
        <v>132239.58</v>
      </c>
      <c r="X57" s="50"/>
    </row>
    <row r="58" spans="1:24" s="1" customFormat="1" ht="13.5" customHeight="1">
      <c r="A58" s="13" t="s">
        <v>109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81</v>
      </c>
      <c r="M58" s="14"/>
      <c r="N58" s="14" t="s">
        <v>113</v>
      </c>
      <c r="O58" s="14"/>
      <c r="P58" s="16">
        <f>205414.4</f>
        <v>205414.4</v>
      </c>
      <c r="Q58" s="16"/>
      <c r="R58" s="16"/>
      <c r="S58" s="16">
        <f>51806.1</f>
        <v>51806.1</v>
      </c>
      <c r="T58" s="16"/>
      <c r="U58" s="16"/>
      <c r="V58" s="16"/>
      <c r="W58" s="50">
        <f>153608.3</f>
        <v>153608.3</v>
      </c>
      <c r="X58" s="50"/>
    </row>
    <row r="59" spans="1:24" s="1" customFormat="1" ht="13.5" customHeight="1">
      <c r="A59" s="13" t="s">
        <v>92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81</v>
      </c>
      <c r="M59" s="14"/>
      <c r="N59" s="14" t="s">
        <v>114</v>
      </c>
      <c r="O59" s="14"/>
      <c r="P59" s="16">
        <f>234993.82</f>
        <v>234993.82</v>
      </c>
      <c r="Q59" s="16"/>
      <c r="R59" s="16"/>
      <c r="S59" s="16">
        <f>31100.8</f>
        <v>31100.8</v>
      </c>
      <c r="T59" s="16"/>
      <c r="U59" s="16"/>
      <c r="V59" s="16"/>
      <c r="W59" s="50">
        <f>203893.02</f>
        <v>203893.02</v>
      </c>
      <c r="X59" s="50"/>
    </row>
    <row r="60" spans="1:24" s="1" customFormat="1" ht="13.5" customHeight="1">
      <c r="A60" s="13" t="s">
        <v>115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81</v>
      </c>
      <c r="M60" s="14"/>
      <c r="N60" s="14" t="s">
        <v>116</v>
      </c>
      <c r="O60" s="14"/>
      <c r="P60" s="16">
        <f>500000</f>
        <v>500000</v>
      </c>
      <c r="Q60" s="16"/>
      <c r="R60" s="16"/>
      <c r="S60" s="16">
        <f>1720</f>
        <v>1720</v>
      </c>
      <c r="T60" s="16"/>
      <c r="U60" s="16"/>
      <c r="V60" s="16"/>
      <c r="W60" s="50">
        <f>498280</f>
        <v>498280</v>
      </c>
      <c r="X60" s="50"/>
    </row>
    <row r="61" spans="1:24" s="1" customFormat="1" ht="13.5" customHeight="1">
      <c r="A61" s="13" t="s">
        <v>96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81</v>
      </c>
      <c r="M61" s="14"/>
      <c r="N61" s="14" t="s">
        <v>117</v>
      </c>
      <c r="O61" s="14"/>
      <c r="P61" s="16">
        <f>850692</f>
        <v>850692</v>
      </c>
      <c r="Q61" s="16"/>
      <c r="R61" s="16"/>
      <c r="S61" s="16">
        <f>285666.1</f>
        <v>285666.1</v>
      </c>
      <c r="T61" s="16"/>
      <c r="U61" s="16"/>
      <c r="V61" s="16"/>
      <c r="W61" s="50">
        <f>565025.9</f>
        <v>565025.9</v>
      </c>
      <c r="X61" s="50"/>
    </row>
    <row r="62" spans="1:24" s="1" customFormat="1" ht="13.5" customHeight="1">
      <c r="A62" s="13" t="s">
        <v>100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81</v>
      </c>
      <c r="M62" s="14"/>
      <c r="N62" s="14" t="s">
        <v>118</v>
      </c>
      <c r="O62" s="14"/>
      <c r="P62" s="16">
        <f>42692</f>
        <v>42692</v>
      </c>
      <c r="Q62" s="16"/>
      <c r="R62" s="16"/>
      <c r="S62" s="16">
        <f>11046</f>
        <v>11046</v>
      </c>
      <c r="T62" s="16"/>
      <c r="U62" s="16"/>
      <c r="V62" s="16"/>
      <c r="W62" s="50">
        <f>31646</f>
        <v>31646</v>
      </c>
      <c r="X62" s="50"/>
    </row>
    <row r="63" spans="1:24" s="1" customFormat="1" ht="13.5" customHeight="1">
      <c r="A63" s="13" t="s">
        <v>82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81</v>
      </c>
      <c r="M63" s="14"/>
      <c r="N63" s="14" t="s">
        <v>119</v>
      </c>
      <c r="O63" s="14"/>
      <c r="P63" s="16">
        <f>113296</f>
        <v>113296</v>
      </c>
      <c r="Q63" s="16"/>
      <c r="R63" s="16"/>
      <c r="S63" s="16">
        <f>59280.84</f>
        <v>59280.84</v>
      </c>
      <c r="T63" s="16"/>
      <c r="U63" s="16"/>
      <c r="V63" s="16"/>
      <c r="W63" s="50">
        <f>54015.16</f>
        <v>54015.16</v>
      </c>
      <c r="X63" s="50"/>
    </row>
    <row r="64" spans="1:24" s="1" customFormat="1" ht="13.5" customHeight="1">
      <c r="A64" s="13" t="s">
        <v>84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81</v>
      </c>
      <c r="M64" s="14"/>
      <c r="N64" s="14" t="s">
        <v>120</v>
      </c>
      <c r="O64" s="14"/>
      <c r="P64" s="16">
        <f>30704</f>
        <v>30704</v>
      </c>
      <c r="Q64" s="16"/>
      <c r="R64" s="16"/>
      <c r="S64" s="16">
        <f>15596.48</f>
        <v>15596.48</v>
      </c>
      <c r="T64" s="16"/>
      <c r="U64" s="16"/>
      <c r="V64" s="16"/>
      <c r="W64" s="50">
        <f>15107.52</f>
        <v>15107.52</v>
      </c>
      <c r="X64" s="50"/>
    </row>
    <row r="65" spans="1:24" s="1" customFormat="1" ht="13.5" customHeight="1">
      <c r="A65" s="13" t="s">
        <v>90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81</v>
      </c>
      <c r="M65" s="14"/>
      <c r="N65" s="14" t="s">
        <v>121</v>
      </c>
      <c r="O65" s="14"/>
      <c r="P65" s="16">
        <f>51000</f>
        <v>51000</v>
      </c>
      <c r="Q65" s="16"/>
      <c r="R65" s="16"/>
      <c r="S65" s="16">
        <f>33000</f>
        <v>33000</v>
      </c>
      <c r="T65" s="16"/>
      <c r="U65" s="16"/>
      <c r="V65" s="16"/>
      <c r="W65" s="50">
        <f>18000</f>
        <v>18000</v>
      </c>
      <c r="X65" s="50"/>
    </row>
    <row r="66" spans="1:24" s="1" customFormat="1" ht="13.5" customHeight="1">
      <c r="A66" s="13" t="s">
        <v>82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81</v>
      </c>
      <c r="M66" s="14"/>
      <c r="N66" s="14" t="s">
        <v>122</v>
      </c>
      <c r="O66" s="14"/>
      <c r="P66" s="16">
        <f>24878</f>
        <v>24878</v>
      </c>
      <c r="Q66" s="16"/>
      <c r="R66" s="16"/>
      <c r="S66" s="16">
        <f>12439</f>
        <v>12439</v>
      </c>
      <c r="T66" s="16"/>
      <c r="U66" s="16"/>
      <c r="V66" s="16"/>
      <c r="W66" s="50">
        <f>12439</f>
        <v>12439</v>
      </c>
      <c r="X66" s="50"/>
    </row>
    <row r="67" spans="1:24" s="1" customFormat="1" ht="13.5" customHeight="1">
      <c r="A67" s="13" t="s">
        <v>84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81</v>
      </c>
      <c r="M67" s="14"/>
      <c r="N67" s="14" t="s">
        <v>123</v>
      </c>
      <c r="O67" s="14"/>
      <c r="P67" s="16">
        <f>6742</f>
        <v>6742</v>
      </c>
      <c r="Q67" s="16"/>
      <c r="R67" s="16"/>
      <c r="S67" s="16">
        <f>3371.32</f>
        <v>3371.32</v>
      </c>
      <c r="T67" s="16"/>
      <c r="U67" s="16"/>
      <c r="V67" s="16"/>
      <c r="W67" s="50">
        <f>3370.68</f>
        <v>3370.68</v>
      </c>
      <c r="X67" s="50"/>
    </row>
    <row r="68" spans="1:24" s="1" customFormat="1" ht="13.5" customHeight="1">
      <c r="A68" s="13" t="s">
        <v>96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81</v>
      </c>
      <c r="M68" s="14"/>
      <c r="N68" s="14" t="s">
        <v>124</v>
      </c>
      <c r="O68" s="14"/>
      <c r="P68" s="16">
        <f>2000</f>
        <v>2000</v>
      </c>
      <c r="Q68" s="16"/>
      <c r="R68" s="16"/>
      <c r="S68" s="16">
        <f>2000</f>
        <v>2000</v>
      </c>
      <c r="T68" s="16"/>
      <c r="U68" s="16"/>
      <c r="V68" s="16"/>
      <c r="W68" s="50">
        <f>0</f>
        <v>0</v>
      </c>
      <c r="X68" s="50"/>
    </row>
    <row r="69" spans="1:24" s="1" customFormat="1" ht="13.5" customHeight="1">
      <c r="A69" s="13" t="s">
        <v>109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81</v>
      </c>
      <c r="M69" s="14"/>
      <c r="N69" s="14" t="s">
        <v>125</v>
      </c>
      <c r="O69" s="14"/>
      <c r="P69" s="16">
        <f>1930000</f>
        <v>1930000</v>
      </c>
      <c r="Q69" s="16"/>
      <c r="R69" s="16"/>
      <c r="S69" s="20" t="s">
        <v>61</v>
      </c>
      <c r="T69" s="20"/>
      <c r="U69" s="20"/>
      <c r="V69" s="20"/>
      <c r="W69" s="50">
        <f>1930000</f>
        <v>1930000</v>
      </c>
      <c r="X69" s="50"/>
    </row>
    <row r="70" spans="1:24" s="1" customFormat="1" ht="13.5" customHeight="1">
      <c r="A70" s="13" t="s">
        <v>92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81</v>
      </c>
      <c r="M70" s="14"/>
      <c r="N70" s="14" t="s">
        <v>126</v>
      </c>
      <c r="O70" s="14"/>
      <c r="P70" s="16">
        <f>288980.17</f>
        <v>288980.17</v>
      </c>
      <c r="Q70" s="16"/>
      <c r="R70" s="16"/>
      <c r="S70" s="20" t="s">
        <v>61</v>
      </c>
      <c r="T70" s="20"/>
      <c r="U70" s="20"/>
      <c r="V70" s="20"/>
      <c r="W70" s="50">
        <f>288980.17</f>
        <v>288980.17</v>
      </c>
      <c r="X70" s="50"/>
    </row>
    <row r="71" spans="1:24" s="1" customFormat="1" ht="13.5" customHeight="1">
      <c r="A71" s="13" t="s">
        <v>115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81</v>
      </c>
      <c r="M71" s="14"/>
      <c r="N71" s="14" t="s">
        <v>127</v>
      </c>
      <c r="O71" s="14"/>
      <c r="P71" s="16">
        <f>61019.83</f>
        <v>61019.83</v>
      </c>
      <c r="Q71" s="16"/>
      <c r="R71" s="16"/>
      <c r="S71" s="16">
        <f>60659.83</f>
        <v>60659.83</v>
      </c>
      <c r="T71" s="16"/>
      <c r="U71" s="16"/>
      <c r="V71" s="16"/>
      <c r="W71" s="50">
        <f>360</f>
        <v>360</v>
      </c>
      <c r="X71" s="50"/>
    </row>
    <row r="72" spans="1:24" s="1" customFormat="1" ht="13.5" customHeight="1">
      <c r="A72" s="13" t="s">
        <v>96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81</v>
      </c>
      <c r="M72" s="14"/>
      <c r="N72" s="14" t="s">
        <v>128</v>
      </c>
      <c r="O72" s="14"/>
      <c r="P72" s="16">
        <f>298800</f>
        <v>298800</v>
      </c>
      <c r="Q72" s="16"/>
      <c r="R72" s="16"/>
      <c r="S72" s="16">
        <f>98800</f>
        <v>98800</v>
      </c>
      <c r="T72" s="16"/>
      <c r="U72" s="16"/>
      <c r="V72" s="16"/>
      <c r="W72" s="50">
        <f>200000</f>
        <v>200000</v>
      </c>
      <c r="X72" s="50"/>
    </row>
    <row r="73" spans="1:24" s="1" customFormat="1" ht="13.5" customHeight="1">
      <c r="A73" s="13" t="s">
        <v>92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81</v>
      </c>
      <c r="M73" s="14"/>
      <c r="N73" s="14" t="s">
        <v>129</v>
      </c>
      <c r="O73" s="14"/>
      <c r="P73" s="16">
        <f>15161</f>
        <v>15161</v>
      </c>
      <c r="Q73" s="16"/>
      <c r="R73" s="16"/>
      <c r="S73" s="20" t="s">
        <v>61</v>
      </c>
      <c r="T73" s="20"/>
      <c r="U73" s="20"/>
      <c r="V73" s="20"/>
      <c r="W73" s="50">
        <f>15161</f>
        <v>15161</v>
      </c>
      <c r="X73" s="50"/>
    </row>
    <row r="74" spans="1:24" s="1" customFormat="1" ht="13.5" customHeight="1">
      <c r="A74" s="13" t="s">
        <v>92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81</v>
      </c>
      <c r="M74" s="14"/>
      <c r="N74" s="14" t="s">
        <v>130</v>
      </c>
      <c r="O74" s="14"/>
      <c r="P74" s="16">
        <f>1677</f>
        <v>1677</v>
      </c>
      <c r="Q74" s="16"/>
      <c r="R74" s="16"/>
      <c r="S74" s="20" t="s">
        <v>61</v>
      </c>
      <c r="T74" s="20"/>
      <c r="U74" s="20"/>
      <c r="V74" s="20"/>
      <c r="W74" s="50">
        <f>1677</f>
        <v>1677</v>
      </c>
      <c r="X74" s="50"/>
    </row>
    <row r="75" spans="1:24" s="1" customFormat="1" ht="13.5" customHeight="1">
      <c r="A75" s="13" t="s">
        <v>109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81</v>
      </c>
      <c r="M75" s="14"/>
      <c r="N75" s="14" t="s">
        <v>131</v>
      </c>
      <c r="O75" s="14"/>
      <c r="P75" s="16">
        <f>2225042.16</f>
        <v>2225042.16</v>
      </c>
      <c r="Q75" s="16"/>
      <c r="R75" s="16"/>
      <c r="S75" s="16">
        <f>851482.21</f>
        <v>851482.21</v>
      </c>
      <c r="T75" s="16"/>
      <c r="U75" s="16"/>
      <c r="V75" s="16"/>
      <c r="W75" s="50">
        <f>1373559.95</f>
        <v>1373559.95</v>
      </c>
      <c r="X75" s="50"/>
    </row>
    <row r="76" spans="1:24" s="1" customFormat="1" ht="13.5" customHeight="1">
      <c r="A76" s="13" t="s">
        <v>92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81</v>
      </c>
      <c r="M76" s="14"/>
      <c r="N76" s="14" t="s">
        <v>132</v>
      </c>
      <c r="O76" s="14"/>
      <c r="P76" s="16">
        <f>8000</f>
        <v>8000</v>
      </c>
      <c r="Q76" s="16"/>
      <c r="R76" s="16"/>
      <c r="S76" s="20" t="s">
        <v>61</v>
      </c>
      <c r="T76" s="20"/>
      <c r="U76" s="20"/>
      <c r="V76" s="20"/>
      <c r="W76" s="50">
        <f>8000</f>
        <v>8000</v>
      </c>
      <c r="X76" s="50"/>
    </row>
    <row r="77" spans="1:24" s="1" customFormat="1" ht="13.5" customHeight="1">
      <c r="A77" s="13" t="s">
        <v>115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81</v>
      </c>
      <c r="M77" s="14"/>
      <c r="N77" s="14" t="s">
        <v>133</v>
      </c>
      <c r="O77" s="14"/>
      <c r="P77" s="16">
        <f>70000</f>
        <v>70000</v>
      </c>
      <c r="Q77" s="16"/>
      <c r="R77" s="16"/>
      <c r="S77" s="20" t="s">
        <v>61</v>
      </c>
      <c r="T77" s="20"/>
      <c r="U77" s="20"/>
      <c r="V77" s="20"/>
      <c r="W77" s="50">
        <f>70000</f>
        <v>70000</v>
      </c>
      <c r="X77" s="50"/>
    </row>
    <row r="78" spans="1:24" s="1" customFormat="1" ht="13.5" customHeight="1">
      <c r="A78" s="13" t="s">
        <v>109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81</v>
      </c>
      <c r="M78" s="14"/>
      <c r="N78" s="14" t="s">
        <v>134</v>
      </c>
      <c r="O78" s="14"/>
      <c r="P78" s="16">
        <f>450800</f>
        <v>450800</v>
      </c>
      <c r="Q78" s="16"/>
      <c r="R78" s="16"/>
      <c r="S78" s="20" t="s">
        <v>61</v>
      </c>
      <c r="T78" s="20"/>
      <c r="U78" s="20"/>
      <c r="V78" s="20"/>
      <c r="W78" s="50">
        <f>450800</f>
        <v>450800</v>
      </c>
      <c r="X78" s="50"/>
    </row>
    <row r="79" spans="1:24" s="1" customFormat="1" ht="13.5" customHeight="1">
      <c r="A79" s="13" t="s">
        <v>94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81</v>
      </c>
      <c r="M79" s="14"/>
      <c r="N79" s="14" t="s">
        <v>135</v>
      </c>
      <c r="O79" s="14"/>
      <c r="P79" s="16">
        <f>266864</f>
        <v>266864</v>
      </c>
      <c r="Q79" s="16"/>
      <c r="R79" s="16"/>
      <c r="S79" s="16">
        <f>87480.07</f>
        <v>87480.07</v>
      </c>
      <c r="T79" s="16"/>
      <c r="U79" s="16"/>
      <c r="V79" s="16"/>
      <c r="W79" s="50">
        <f>179383.93</f>
        <v>179383.93</v>
      </c>
      <c r="X79" s="50"/>
    </row>
    <row r="80" spans="1:24" s="1" customFormat="1" ht="13.5" customHeight="1">
      <c r="A80" s="13" t="s">
        <v>109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81</v>
      </c>
      <c r="M80" s="14"/>
      <c r="N80" s="14" t="s">
        <v>136</v>
      </c>
      <c r="O80" s="14"/>
      <c r="P80" s="16">
        <f>22645</f>
        <v>22645</v>
      </c>
      <c r="Q80" s="16"/>
      <c r="R80" s="16"/>
      <c r="S80" s="16">
        <f>9370</f>
        <v>9370</v>
      </c>
      <c r="T80" s="16"/>
      <c r="U80" s="16"/>
      <c r="V80" s="16"/>
      <c r="W80" s="50">
        <f>13275</f>
        <v>13275</v>
      </c>
      <c r="X80" s="50"/>
    </row>
    <row r="81" spans="1:24" s="1" customFormat="1" ht="13.5" customHeight="1">
      <c r="A81" s="13" t="s">
        <v>92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81</v>
      </c>
      <c r="M81" s="14"/>
      <c r="N81" s="14" t="s">
        <v>137</v>
      </c>
      <c r="O81" s="14"/>
      <c r="P81" s="16">
        <f>506603</f>
        <v>506603</v>
      </c>
      <c r="Q81" s="16"/>
      <c r="R81" s="16"/>
      <c r="S81" s="16">
        <f>162805.05</f>
        <v>162805.05</v>
      </c>
      <c r="T81" s="16"/>
      <c r="U81" s="16"/>
      <c r="V81" s="16"/>
      <c r="W81" s="50">
        <f>343797.95</f>
        <v>343797.95</v>
      </c>
      <c r="X81" s="50"/>
    </row>
    <row r="82" spans="1:24" s="1" customFormat="1" ht="13.5" customHeight="1">
      <c r="A82" s="13" t="s">
        <v>115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81</v>
      </c>
      <c r="M82" s="14"/>
      <c r="N82" s="14" t="s">
        <v>138</v>
      </c>
      <c r="O82" s="14"/>
      <c r="P82" s="16">
        <f>20000</f>
        <v>20000</v>
      </c>
      <c r="Q82" s="16"/>
      <c r="R82" s="16"/>
      <c r="S82" s="16">
        <f>7564.8</f>
        <v>7564.8</v>
      </c>
      <c r="T82" s="16"/>
      <c r="U82" s="16"/>
      <c r="V82" s="16"/>
      <c r="W82" s="50">
        <f>12435.2</f>
        <v>12435.2</v>
      </c>
      <c r="X82" s="50"/>
    </row>
    <row r="83" spans="1:24" s="1" customFormat="1" ht="13.5" customHeight="1">
      <c r="A83" s="13" t="s">
        <v>96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81</v>
      </c>
      <c r="M83" s="14"/>
      <c r="N83" s="14" t="s">
        <v>139</v>
      </c>
      <c r="O83" s="14"/>
      <c r="P83" s="16">
        <f>29500</f>
        <v>29500</v>
      </c>
      <c r="Q83" s="16"/>
      <c r="R83" s="16"/>
      <c r="S83" s="16">
        <f>11899.6</f>
        <v>11899.6</v>
      </c>
      <c r="T83" s="16"/>
      <c r="U83" s="16"/>
      <c r="V83" s="16"/>
      <c r="W83" s="50">
        <f>17600.4</f>
        <v>17600.4</v>
      </c>
      <c r="X83" s="50"/>
    </row>
    <row r="84" spans="1:24" s="1" customFormat="1" ht="13.5" customHeight="1">
      <c r="A84" s="13" t="s">
        <v>109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81</v>
      </c>
      <c r="M84" s="14"/>
      <c r="N84" s="14" t="s">
        <v>140</v>
      </c>
      <c r="O84" s="14"/>
      <c r="P84" s="16">
        <f>0</f>
        <v>0</v>
      </c>
      <c r="Q84" s="16"/>
      <c r="R84" s="16"/>
      <c r="S84" s="20" t="s">
        <v>61</v>
      </c>
      <c r="T84" s="20"/>
      <c r="U84" s="20"/>
      <c r="V84" s="20"/>
      <c r="W84" s="50">
        <f>0</f>
        <v>0</v>
      </c>
      <c r="X84" s="50"/>
    </row>
    <row r="85" spans="1:24" s="1" customFormat="1" ht="13.5" customHeight="1">
      <c r="A85" s="13" t="s">
        <v>115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81</v>
      </c>
      <c r="M85" s="14"/>
      <c r="N85" s="14" t="s">
        <v>141</v>
      </c>
      <c r="O85" s="14"/>
      <c r="P85" s="16">
        <f>601601</f>
        <v>601601</v>
      </c>
      <c r="Q85" s="16"/>
      <c r="R85" s="16"/>
      <c r="S85" s="16">
        <f>423867</f>
        <v>423867</v>
      </c>
      <c r="T85" s="16"/>
      <c r="U85" s="16"/>
      <c r="V85" s="16"/>
      <c r="W85" s="50">
        <f>177734</f>
        <v>177734</v>
      </c>
      <c r="X85" s="50"/>
    </row>
    <row r="86" spans="1:24" s="1" customFormat="1" ht="13.5" customHeight="1">
      <c r="A86" s="13" t="s">
        <v>111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81</v>
      </c>
      <c r="M86" s="14"/>
      <c r="N86" s="14" t="s">
        <v>142</v>
      </c>
      <c r="O86" s="14"/>
      <c r="P86" s="16">
        <f>252000</f>
        <v>252000</v>
      </c>
      <c r="Q86" s="16"/>
      <c r="R86" s="16"/>
      <c r="S86" s="16">
        <f>76197.27</f>
        <v>76197.27</v>
      </c>
      <c r="T86" s="16"/>
      <c r="U86" s="16"/>
      <c r="V86" s="16"/>
      <c r="W86" s="50">
        <f>175802.73</f>
        <v>175802.73</v>
      </c>
      <c r="X86" s="50"/>
    </row>
    <row r="87" spans="1:24" s="1" customFormat="1" ht="13.5" customHeight="1">
      <c r="A87" s="13" t="s">
        <v>109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81</v>
      </c>
      <c r="M87" s="14"/>
      <c r="N87" s="14" t="s">
        <v>143</v>
      </c>
      <c r="O87" s="14"/>
      <c r="P87" s="16">
        <f>794874.64</f>
        <v>794874.64</v>
      </c>
      <c r="Q87" s="16"/>
      <c r="R87" s="16"/>
      <c r="S87" s="16">
        <f>288080.2</f>
        <v>288080.2</v>
      </c>
      <c r="T87" s="16"/>
      <c r="U87" s="16"/>
      <c r="V87" s="16"/>
      <c r="W87" s="50">
        <f>506794.44</f>
        <v>506794.44</v>
      </c>
      <c r="X87" s="50"/>
    </row>
    <row r="88" spans="1:24" s="1" customFormat="1" ht="13.5" customHeight="1">
      <c r="A88" s="13" t="s">
        <v>92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81</v>
      </c>
      <c r="M88" s="14"/>
      <c r="N88" s="14" t="s">
        <v>144</v>
      </c>
      <c r="O88" s="14"/>
      <c r="P88" s="16">
        <f>7000</f>
        <v>7000</v>
      </c>
      <c r="Q88" s="16"/>
      <c r="R88" s="16"/>
      <c r="S88" s="16">
        <f>1100</f>
        <v>1100</v>
      </c>
      <c r="T88" s="16"/>
      <c r="U88" s="16"/>
      <c r="V88" s="16"/>
      <c r="W88" s="50">
        <f>5900</f>
        <v>5900</v>
      </c>
      <c r="X88" s="50"/>
    </row>
    <row r="89" spans="1:24" s="1" customFormat="1" ht="13.5" customHeight="1">
      <c r="A89" s="13" t="s">
        <v>109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81</v>
      </c>
      <c r="M89" s="14"/>
      <c r="N89" s="14" t="s">
        <v>145</v>
      </c>
      <c r="O89" s="14"/>
      <c r="P89" s="16">
        <f>0</f>
        <v>0</v>
      </c>
      <c r="Q89" s="16"/>
      <c r="R89" s="16"/>
      <c r="S89" s="16">
        <f>0</f>
        <v>0</v>
      </c>
      <c r="T89" s="16"/>
      <c r="U89" s="16"/>
      <c r="V89" s="16"/>
      <c r="W89" s="50">
        <f>0</f>
        <v>0</v>
      </c>
      <c r="X89" s="50"/>
    </row>
    <row r="90" spans="1:24" s="1" customFormat="1" ht="13.5" customHeight="1">
      <c r="A90" s="13" t="s">
        <v>92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81</v>
      </c>
      <c r="M90" s="14"/>
      <c r="N90" s="14" t="s">
        <v>146</v>
      </c>
      <c r="O90" s="14"/>
      <c r="P90" s="16">
        <f>0</f>
        <v>0</v>
      </c>
      <c r="Q90" s="16"/>
      <c r="R90" s="16"/>
      <c r="S90" s="20" t="s">
        <v>61</v>
      </c>
      <c r="T90" s="20"/>
      <c r="U90" s="20"/>
      <c r="V90" s="20"/>
      <c r="W90" s="50">
        <f>0</f>
        <v>0</v>
      </c>
      <c r="X90" s="50"/>
    </row>
    <row r="91" spans="1:24" s="1" customFormat="1" ht="13.5" customHeight="1">
      <c r="A91" s="13" t="s">
        <v>115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81</v>
      </c>
      <c r="M91" s="14"/>
      <c r="N91" s="14" t="s">
        <v>147</v>
      </c>
      <c r="O91" s="14"/>
      <c r="P91" s="16">
        <f>0</f>
        <v>0</v>
      </c>
      <c r="Q91" s="16"/>
      <c r="R91" s="16"/>
      <c r="S91" s="20" t="s">
        <v>61</v>
      </c>
      <c r="T91" s="20"/>
      <c r="U91" s="20"/>
      <c r="V91" s="20"/>
      <c r="W91" s="50">
        <f>0</f>
        <v>0</v>
      </c>
      <c r="X91" s="50"/>
    </row>
    <row r="92" spans="1:24" s="1" customFormat="1" ht="13.5" customHeight="1">
      <c r="A92" s="13" t="s">
        <v>109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81</v>
      </c>
      <c r="M92" s="14"/>
      <c r="N92" s="14" t="s">
        <v>148</v>
      </c>
      <c r="O92" s="14"/>
      <c r="P92" s="16">
        <f>442765</f>
        <v>442765</v>
      </c>
      <c r="Q92" s="16"/>
      <c r="R92" s="16"/>
      <c r="S92" s="16">
        <f>13971.25</f>
        <v>13971.25</v>
      </c>
      <c r="T92" s="16"/>
      <c r="U92" s="16"/>
      <c r="V92" s="16"/>
      <c r="W92" s="50">
        <f>428793.75</f>
        <v>428793.75</v>
      </c>
      <c r="X92" s="50"/>
    </row>
    <row r="93" spans="1:24" s="1" customFormat="1" ht="13.5" customHeight="1">
      <c r="A93" s="13" t="s">
        <v>92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81</v>
      </c>
      <c r="M93" s="14"/>
      <c r="N93" s="14" t="s">
        <v>149</v>
      </c>
      <c r="O93" s="14"/>
      <c r="P93" s="16">
        <f>2500</f>
        <v>2500</v>
      </c>
      <c r="Q93" s="16"/>
      <c r="R93" s="16"/>
      <c r="S93" s="16">
        <f>1539</f>
        <v>1539</v>
      </c>
      <c r="T93" s="16"/>
      <c r="U93" s="16"/>
      <c r="V93" s="16"/>
      <c r="W93" s="50">
        <f>961</f>
        <v>961</v>
      </c>
      <c r="X93" s="50"/>
    </row>
    <row r="94" spans="1:24" s="1" customFormat="1" ht="13.5" customHeight="1">
      <c r="A94" s="13" t="s">
        <v>90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81</v>
      </c>
      <c r="M94" s="14"/>
      <c r="N94" s="14" t="s">
        <v>150</v>
      </c>
      <c r="O94" s="14"/>
      <c r="P94" s="16">
        <f>94000</f>
        <v>94000</v>
      </c>
      <c r="Q94" s="16"/>
      <c r="R94" s="16"/>
      <c r="S94" s="16">
        <f>33000</f>
        <v>33000</v>
      </c>
      <c r="T94" s="16"/>
      <c r="U94" s="16"/>
      <c r="V94" s="16"/>
      <c r="W94" s="50">
        <f>61000</f>
        <v>61000</v>
      </c>
      <c r="X94" s="50"/>
    </row>
    <row r="95" spans="1:24" s="1" customFormat="1" ht="13.5" customHeight="1">
      <c r="A95" s="13" t="s">
        <v>100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81</v>
      </c>
      <c r="M95" s="14"/>
      <c r="N95" s="14" t="s">
        <v>151</v>
      </c>
      <c r="O95" s="14"/>
      <c r="P95" s="16">
        <f>15500</f>
        <v>15500</v>
      </c>
      <c r="Q95" s="16"/>
      <c r="R95" s="16"/>
      <c r="S95" s="16">
        <f>15500</f>
        <v>15500</v>
      </c>
      <c r="T95" s="16"/>
      <c r="U95" s="16"/>
      <c r="V95" s="16"/>
      <c r="W95" s="50">
        <f>0</f>
        <v>0</v>
      </c>
      <c r="X95" s="50"/>
    </row>
    <row r="96" spans="1:24" s="1" customFormat="1" ht="13.5" customHeight="1">
      <c r="A96" s="13" t="s">
        <v>115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81</v>
      </c>
      <c r="M96" s="14"/>
      <c r="N96" s="14" t="s">
        <v>152</v>
      </c>
      <c r="O96" s="14"/>
      <c r="P96" s="16">
        <f>5000</f>
        <v>5000</v>
      </c>
      <c r="Q96" s="16"/>
      <c r="R96" s="16"/>
      <c r="S96" s="20" t="s">
        <v>61</v>
      </c>
      <c r="T96" s="20"/>
      <c r="U96" s="20"/>
      <c r="V96" s="20"/>
      <c r="W96" s="50">
        <f>5000</f>
        <v>5000</v>
      </c>
      <c r="X96" s="50"/>
    </row>
    <row r="97" spans="1:24" s="1" customFormat="1" ht="13.5" customHeight="1">
      <c r="A97" s="13" t="s">
        <v>96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81</v>
      </c>
      <c r="M97" s="14"/>
      <c r="N97" s="14" t="s">
        <v>153</v>
      </c>
      <c r="O97" s="14"/>
      <c r="P97" s="16">
        <f>84500</f>
        <v>84500</v>
      </c>
      <c r="Q97" s="16"/>
      <c r="R97" s="16"/>
      <c r="S97" s="16">
        <f>64500</f>
        <v>64500</v>
      </c>
      <c r="T97" s="16"/>
      <c r="U97" s="16"/>
      <c r="V97" s="16"/>
      <c r="W97" s="50">
        <f>20000</f>
        <v>20000</v>
      </c>
      <c r="X97" s="50"/>
    </row>
    <row r="98" spans="1:24" s="1" customFormat="1" ht="13.5" customHeight="1">
      <c r="A98" s="13" t="s">
        <v>154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81</v>
      </c>
      <c r="M98" s="14"/>
      <c r="N98" s="14" t="s">
        <v>155</v>
      </c>
      <c r="O98" s="14"/>
      <c r="P98" s="16">
        <f>8862996.72</f>
        <v>8862996.72</v>
      </c>
      <c r="Q98" s="16"/>
      <c r="R98" s="16"/>
      <c r="S98" s="16">
        <f>4552163.96</f>
        <v>4552163.96</v>
      </c>
      <c r="T98" s="16"/>
      <c r="U98" s="16"/>
      <c r="V98" s="16"/>
      <c r="W98" s="50">
        <f>4310832.76</f>
        <v>4310832.76</v>
      </c>
      <c r="X98" s="50"/>
    </row>
    <row r="99" spans="1:24" s="1" customFormat="1" ht="13.5" customHeight="1">
      <c r="A99" s="13" t="s">
        <v>154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81</v>
      </c>
      <c r="M99" s="14"/>
      <c r="N99" s="14" t="s">
        <v>156</v>
      </c>
      <c r="O99" s="14"/>
      <c r="P99" s="16">
        <f>389200</f>
        <v>389200</v>
      </c>
      <c r="Q99" s="16"/>
      <c r="R99" s="16"/>
      <c r="S99" s="16">
        <f>389200</f>
        <v>389200</v>
      </c>
      <c r="T99" s="16"/>
      <c r="U99" s="16"/>
      <c r="V99" s="16"/>
      <c r="W99" s="50">
        <f>0</f>
        <v>0</v>
      </c>
      <c r="X99" s="50"/>
    </row>
    <row r="100" spans="1:24" s="1" customFormat="1" ht="24" customHeight="1">
      <c r="A100" s="13" t="s">
        <v>157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81</v>
      </c>
      <c r="M100" s="14"/>
      <c r="N100" s="14" t="s">
        <v>158</v>
      </c>
      <c r="O100" s="14"/>
      <c r="P100" s="16">
        <f>300000</f>
        <v>300000</v>
      </c>
      <c r="Q100" s="16"/>
      <c r="R100" s="16"/>
      <c r="S100" s="16">
        <f>150000</f>
        <v>150000</v>
      </c>
      <c r="T100" s="16"/>
      <c r="U100" s="16"/>
      <c r="V100" s="16"/>
      <c r="W100" s="50">
        <f>150000</f>
        <v>150000</v>
      </c>
      <c r="X100" s="50"/>
    </row>
    <row r="101" spans="1:24" s="1" customFormat="1" ht="13.5" customHeight="1">
      <c r="A101" s="13" t="s">
        <v>159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81</v>
      </c>
      <c r="M101" s="14"/>
      <c r="N101" s="14" t="s">
        <v>160</v>
      </c>
      <c r="O101" s="14"/>
      <c r="P101" s="16">
        <f>40000</f>
        <v>40000</v>
      </c>
      <c r="Q101" s="16"/>
      <c r="R101" s="16"/>
      <c r="S101" s="20" t="s">
        <v>61</v>
      </c>
      <c r="T101" s="20"/>
      <c r="U101" s="20"/>
      <c r="V101" s="20"/>
      <c r="W101" s="50">
        <f>40000</f>
        <v>40000</v>
      </c>
      <c r="X101" s="50"/>
    </row>
    <row r="102" spans="1:24" s="1" customFormat="1" ht="13.5" customHeight="1">
      <c r="A102" s="13" t="s">
        <v>82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81</v>
      </c>
      <c r="M102" s="14"/>
      <c r="N102" s="14" t="s">
        <v>161</v>
      </c>
      <c r="O102" s="14"/>
      <c r="P102" s="16">
        <f>2877652.1</f>
        <v>2877652.1</v>
      </c>
      <c r="Q102" s="16"/>
      <c r="R102" s="16"/>
      <c r="S102" s="16">
        <f>1247690.66</f>
        <v>1247690.66</v>
      </c>
      <c r="T102" s="16"/>
      <c r="U102" s="16"/>
      <c r="V102" s="16"/>
      <c r="W102" s="50">
        <f>1629961.44</f>
        <v>1629961.44</v>
      </c>
      <c r="X102" s="50"/>
    </row>
    <row r="103" spans="1:24" s="1" customFormat="1" ht="13.5" customHeight="1">
      <c r="A103" s="13" t="s">
        <v>84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81</v>
      </c>
      <c r="M103" s="14"/>
      <c r="N103" s="14" t="s">
        <v>162</v>
      </c>
      <c r="O103" s="14"/>
      <c r="P103" s="16">
        <f>867700.73</f>
        <v>867700.73</v>
      </c>
      <c r="Q103" s="16"/>
      <c r="R103" s="16"/>
      <c r="S103" s="16">
        <f>331088.12</f>
        <v>331088.12</v>
      </c>
      <c r="T103" s="16"/>
      <c r="U103" s="16"/>
      <c r="V103" s="16"/>
      <c r="W103" s="50">
        <f>536612.61</f>
        <v>536612.61</v>
      </c>
      <c r="X103" s="50"/>
    </row>
    <row r="104" spans="1:24" s="1" customFormat="1" ht="13.5" customHeight="1">
      <c r="A104" s="13" t="s">
        <v>88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81</v>
      </c>
      <c r="M104" s="14"/>
      <c r="N104" s="14" t="s">
        <v>163</v>
      </c>
      <c r="O104" s="14"/>
      <c r="P104" s="16">
        <f>102601.2</f>
        <v>102601.2</v>
      </c>
      <c r="Q104" s="16"/>
      <c r="R104" s="16"/>
      <c r="S104" s="16">
        <f>11601.2</f>
        <v>11601.2</v>
      </c>
      <c r="T104" s="16"/>
      <c r="U104" s="16"/>
      <c r="V104" s="16"/>
      <c r="W104" s="50">
        <f>91000</f>
        <v>91000</v>
      </c>
      <c r="X104" s="50"/>
    </row>
    <row r="105" spans="1:24" s="1" customFormat="1" ht="13.5" customHeight="1">
      <c r="A105" s="13" t="s">
        <v>90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81</v>
      </c>
      <c r="M105" s="14"/>
      <c r="N105" s="14" t="s">
        <v>164</v>
      </c>
      <c r="O105" s="14"/>
      <c r="P105" s="16">
        <f>56600</f>
        <v>56600</v>
      </c>
      <c r="Q105" s="16"/>
      <c r="R105" s="16"/>
      <c r="S105" s="16">
        <f>20000</f>
        <v>20000</v>
      </c>
      <c r="T105" s="16"/>
      <c r="U105" s="16"/>
      <c r="V105" s="16"/>
      <c r="W105" s="50">
        <f>36600</f>
        <v>36600</v>
      </c>
      <c r="X105" s="50"/>
    </row>
    <row r="106" spans="1:24" s="1" customFormat="1" ht="13.5" customHeight="1">
      <c r="A106" s="13" t="s">
        <v>94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81</v>
      </c>
      <c r="M106" s="14"/>
      <c r="N106" s="14" t="s">
        <v>165</v>
      </c>
      <c r="O106" s="14"/>
      <c r="P106" s="16">
        <f>36496.79</f>
        <v>36496.79</v>
      </c>
      <c r="Q106" s="16"/>
      <c r="R106" s="16"/>
      <c r="S106" s="16">
        <f>4480.19</f>
        <v>4480.19</v>
      </c>
      <c r="T106" s="16"/>
      <c r="U106" s="16"/>
      <c r="V106" s="16"/>
      <c r="W106" s="50">
        <f>32016.6</f>
        <v>32016.6</v>
      </c>
      <c r="X106" s="50"/>
    </row>
    <row r="107" spans="1:24" s="1" customFormat="1" ht="13.5" customHeight="1">
      <c r="A107" s="13" t="s">
        <v>109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81</v>
      </c>
      <c r="M107" s="14"/>
      <c r="N107" s="14" t="s">
        <v>166</v>
      </c>
      <c r="O107" s="14"/>
      <c r="P107" s="16">
        <f>3000</f>
        <v>3000</v>
      </c>
      <c r="Q107" s="16"/>
      <c r="R107" s="16"/>
      <c r="S107" s="16">
        <f>800</f>
        <v>800</v>
      </c>
      <c r="T107" s="16"/>
      <c r="U107" s="16"/>
      <c r="V107" s="16"/>
      <c r="W107" s="50">
        <f>2200</f>
        <v>2200</v>
      </c>
      <c r="X107" s="50"/>
    </row>
    <row r="108" spans="1:24" s="1" customFormat="1" ht="13.5" customHeight="1">
      <c r="A108" s="13" t="s">
        <v>92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81</v>
      </c>
      <c r="M108" s="14"/>
      <c r="N108" s="14" t="s">
        <v>167</v>
      </c>
      <c r="O108" s="14"/>
      <c r="P108" s="16">
        <f>10896</f>
        <v>10896</v>
      </c>
      <c r="Q108" s="16"/>
      <c r="R108" s="16"/>
      <c r="S108" s="16">
        <f>6504</f>
        <v>6504</v>
      </c>
      <c r="T108" s="16"/>
      <c r="U108" s="16"/>
      <c r="V108" s="16"/>
      <c r="W108" s="50">
        <f>4392</f>
        <v>4392</v>
      </c>
      <c r="X108" s="50"/>
    </row>
    <row r="109" spans="1:24" s="1" customFormat="1" ht="13.5" customHeight="1">
      <c r="A109" s="13" t="s">
        <v>111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81</v>
      </c>
      <c r="M109" s="14"/>
      <c r="N109" s="14" t="s">
        <v>168</v>
      </c>
      <c r="O109" s="14"/>
      <c r="P109" s="16">
        <f>618070.09</f>
        <v>618070.09</v>
      </c>
      <c r="Q109" s="16"/>
      <c r="R109" s="16"/>
      <c r="S109" s="16">
        <f>328652.68</f>
        <v>328652.68</v>
      </c>
      <c r="T109" s="16"/>
      <c r="U109" s="16"/>
      <c r="V109" s="16"/>
      <c r="W109" s="50">
        <f>289417.41</f>
        <v>289417.41</v>
      </c>
      <c r="X109" s="50"/>
    </row>
    <row r="110" spans="1:24" s="1" customFormat="1" ht="13.5" customHeight="1">
      <c r="A110" s="13" t="s">
        <v>109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81</v>
      </c>
      <c r="M110" s="14"/>
      <c r="N110" s="14" t="s">
        <v>169</v>
      </c>
      <c r="O110" s="14"/>
      <c r="P110" s="16">
        <f>154655.92</f>
        <v>154655.92</v>
      </c>
      <c r="Q110" s="16"/>
      <c r="R110" s="16"/>
      <c r="S110" s="16">
        <f>53818.8</f>
        <v>53818.8</v>
      </c>
      <c r="T110" s="16"/>
      <c r="U110" s="16"/>
      <c r="V110" s="16"/>
      <c r="W110" s="50">
        <f>100837.12</f>
        <v>100837.12</v>
      </c>
      <c r="X110" s="50"/>
    </row>
    <row r="111" spans="1:24" s="1" customFormat="1" ht="13.5" customHeight="1">
      <c r="A111" s="13" t="s">
        <v>92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81</v>
      </c>
      <c r="M111" s="14"/>
      <c r="N111" s="14" t="s">
        <v>170</v>
      </c>
      <c r="O111" s="14"/>
      <c r="P111" s="16">
        <f>86000</f>
        <v>86000</v>
      </c>
      <c r="Q111" s="16"/>
      <c r="R111" s="16"/>
      <c r="S111" s="20" t="s">
        <v>61</v>
      </c>
      <c r="T111" s="20"/>
      <c r="U111" s="20"/>
      <c r="V111" s="20"/>
      <c r="W111" s="50">
        <f>86000</f>
        <v>86000</v>
      </c>
      <c r="X111" s="50"/>
    </row>
    <row r="112" spans="1:24" s="1" customFormat="1" ht="13.5" customHeight="1">
      <c r="A112" s="13" t="s">
        <v>100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81</v>
      </c>
      <c r="M112" s="14"/>
      <c r="N112" s="14" t="s">
        <v>171</v>
      </c>
      <c r="O112" s="14"/>
      <c r="P112" s="16">
        <f>76000</f>
        <v>76000</v>
      </c>
      <c r="Q112" s="16"/>
      <c r="R112" s="16"/>
      <c r="S112" s="16">
        <f>32000</f>
        <v>32000</v>
      </c>
      <c r="T112" s="16"/>
      <c r="U112" s="16"/>
      <c r="V112" s="16"/>
      <c r="W112" s="50">
        <f>44000</f>
        <v>44000</v>
      </c>
      <c r="X112" s="50"/>
    </row>
    <row r="113" spans="1:24" s="1" customFormat="1" ht="13.5" customHeight="1">
      <c r="A113" s="13" t="s">
        <v>115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81</v>
      </c>
      <c r="M113" s="14"/>
      <c r="N113" s="14" t="s">
        <v>172</v>
      </c>
      <c r="O113" s="14"/>
      <c r="P113" s="16">
        <f>117000</f>
        <v>117000</v>
      </c>
      <c r="Q113" s="16"/>
      <c r="R113" s="16"/>
      <c r="S113" s="16">
        <f>27000</f>
        <v>27000</v>
      </c>
      <c r="T113" s="16"/>
      <c r="U113" s="16"/>
      <c r="V113" s="16"/>
      <c r="W113" s="50">
        <f>90000</f>
        <v>90000</v>
      </c>
      <c r="X113" s="50"/>
    </row>
    <row r="114" spans="1:24" s="1" customFormat="1" ht="13.5" customHeight="1">
      <c r="A114" s="13" t="s">
        <v>96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81</v>
      </c>
      <c r="M114" s="14"/>
      <c r="N114" s="14" t="s">
        <v>173</v>
      </c>
      <c r="O114" s="14"/>
      <c r="P114" s="16">
        <f>24315</f>
        <v>24315</v>
      </c>
      <c r="Q114" s="16"/>
      <c r="R114" s="16"/>
      <c r="S114" s="16">
        <f>1800</f>
        <v>1800</v>
      </c>
      <c r="T114" s="16"/>
      <c r="U114" s="16"/>
      <c r="V114" s="16"/>
      <c r="W114" s="50">
        <f>22515</f>
        <v>22515</v>
      </c>
      <c r="X114" s="50"/>
    </row>
    <row r="115" spans="1:24" s="1" customFormat="1" ht="13.5" customHeight="1">
      <c r="A115" s="13" t="s">
        <v>100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81</v>
      </c>
      <c r="M115" s="14"/>
      <c r="N115" s="14" t="s">
        <v>174</v>
      </c>
      <c r="O115" s="14"/>
      <c r="P115" s="16">
        <f>27602.01</f>
        <v>27602.01</v>
      </c>
      <c r="Q115" s="16"/>
      <c r="R115" s="16"/>
      <c r="S115" s="16">
        <f>26285.13</f>
        <v>26285.13</v>
      </c>
      <c r="T115" s="16"/>
      <c r="U115" s="16"/>
      <c r="V115" s="16"/>
      <c r="W115" s="50">
        <f>1316.88</f>
        <v>1316.88</v>
      </c>
      <c r="X115" s="50"/>
    </row>
    <row r="116" spans="1:24" s="1" customFormat="1" ht="13.5" customHeight="1">
      <c r="A116" s="13" t="s">
        <v>175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 t="s">
        <v>81</v>
      </c>
      <c r="M116" s="14"/>
      <c r="N116" s="14" t="s">
        <v>176</v>
      </c>
      <c r="O116" s="14"/>
      <c r="P116" s="16">
        <f>19278100</f>
        <v>19278100</v>
      </c>
      <c r="Q116" s="16"/>
      <c r="R116" s="16"/>
      <c r="S116" s="16">
        <f>11207367</f>
        <v>11207367</v>
      </c>
      <c r="T116" s="16"/>
      <c r="U116" s="16"/>
      <c r="V116" s="16"/>
      <c r="W116" s="50">
        <f>8070733</f>
        <v>8070733</v>
      </c>
      <c r="X116" s="50"/>
    </row>
    <row r="117" spans="1:24" s="1" customFormat="1" ht="15" customHeight="1">
      <c r="A117" s="46" t="s">
        <v>177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7" t="s">
        <v>178</v>
      </c>
      <c r="M117" s="47"/>
      <c r="N117" s="47" t="s">
        <v>38</v>
      </c>
      <c r="O117" s="47"/>
      <c r="P117" s="48">
        <f>-5144922.42</f>
        <v>-5144922.42</v>
      </c>
      <c r="Q117" s="48"/>
      <c r="R117" s="48"/>
      <c r="S117" s="48">
        <f>2103496</f>
        <v>2103496</v>
      </c>
      <c r="T117" s="48"/>
      <c r="U117" s="48"/>
      <c r="V117" s="48"/>
      <c r="W117" s="49" t="s">
        <v>38</v>
      </c>
      <c r="X117" s="49"/>
    </row>
    <row r="118" spans="1:24" s="1" customFormat="1" ht="13.5" customHeight="1">
      <c r="A118" s="9" t="s">
        <v>18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1" customFormat="1" ht="13.5" customHeight="1">
      <c r="A119" s="42" t="s">
        <v>179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s="1" customFormat="1" ht="45.75" customHeight="1">
      <c r="A120" s="43" t="s">
        <v>24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 t="s">
        <v>25</v>
      </c>
      <c r="M120" s="43"/>
      <c r="N120" s="43" t="s">
        <v>180</v>
      </c>
      <c r="O120" s="43"/>
      <c r="P120" s="44" t="s">
        <v>27</v>
      </c>
      <c r="Q120" s="44"/>
      <c r="R120" s="44"/>
      <c r="S120" s="44" t="s">
        <v>28</v>
      </c>
      <c r="T120" s="44"/>
      <c r="U120" s="44"/>
      <c r="V120" s="44"/>
      <c r="W120" s="45" t="s">
        <v>29</v>
      </c>
      <c r="X120" s="45"/>
    </row>
    <row r="121" spans="1:24" s="1" customFormat="1" ht="12.75" customHeight="1">
      <c r="A121" s="39" t="s">
        <v>30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 t="s">
        <v>31</v>
      </c>
      <c r="M121" s="39"/>
      <c r="N121" s="39" t="s">
        <v>32</v>
      </c>
      <c r="O121" s="39"/>
      <c r="P121" s="40" t="s">
        <v>33</v>
      </c>
      <c r="Q121" s="40"/>
      <c r="R121" s="40"/>
      <c r="S121" s="40" t="s">
        <v>34</v>
      </c>
      <c r="T121" s="40"/>
      <c r="U121" s="40"/>
      <c r="V121" s="40"/>
      <c r="W121" s="41" t="s">
        <v>35</v>
      </c>
      <c r="X121" s="41"/>
    </row>
    <row r="122" spans="1:24" s="1" customFormat="1" ht="13.5" customHeight="1">
      <c r="A122" s="34" t="s">
        <v>181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5" t="s">
        <v>182</v>
      </c>
      <c r="M122" s="35"/>
      <c r="N122" s="35" t="s">
        <v>38</v>
      </c>
      <c r="O122" s="35"/>
      <c r="P122" s="36">
        <f>5144922.42</f>
        <v>5144922.42</v>
      </c>
      <c r="Q122" s="36"/>
      <c r="R122" s="36"/>
      <c r="S122" s="37">
        <f>-2103496</f>
        <v>-2103496</v>
      </c>
      <c r="T122" s="37"/>
      <c r="U122" s="37"/>
      <c r="V122" s="37"/>
      <c r="W122" s="38">
        <f>7248418.42</f>
        <v>7248418.42</v>
      </c>
      <c r="X122" s="38"/>
    </row>
    <row r="123" spans="1:24" s="1" customFormat="1" ht="13.5" customHeight="1">
      <c r="A123" s="32" t="s">
        <v>183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23" t="s">
        <v>18</v>
      </c>
      <c r="M123" s="23"/>
      <c r="N123" s="23" t="s">
        <v>18</v>
      </c>
      <c r="O123" s="23"/>
      <c r="P123" s="24" t="s">
        <v>18</v>
      </c>
      <c r="Q123" s="24"/>
      <c r="R123" s="24"/>
      <c r="S123" s="33" t="s">
        <v>18</v>
      </c>
      <c r="T123" s="33"/>
      <c r="U123" s="33"/>
      <c r="V123" s="33"/>
      <c r="W123" s="25" t="s">
        <v>18</v>
      </c>
      <c r="X123" s="25"/>
    </row>
    <row r="124" spans="1:24" s="1" customFormat="1" ht="13.5" customHeight="1">
      <c r="A124" s="26" t="s">
        <v>184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7" t="s">
        <v>185</v>
      </c>
      <c r="M124" s="27"/>
      <c r="N124" s="28" t="s">
        <v>38</v>
      </c>
      <c r="O124" s="28"/>
      <c r="P124" s="29" t="s">
        <v>61</v>
      </c>
      <c r="Q124" s="29"/>
      <c r="R124" s="29"/>
      <c r="S124" s="30" t="s">
        <v>61</v>
      </c>
      <c r="T124" s="30"/>
      <c r="U124" s="30"/>
      <c r="V124" s="30"/>
      <c r="W124" s="31" t="s">
        <v>61</v>
      </c>
      <c r="X124" s="31"/>
    </row>
    <row r="125" spans="1:24" s="1" customFormat="1" ht="13.5" customHeight="1">
      <c r="A125" s="13" t="s">
        <v>18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 t="s">
        <v>185</v>
      </c>
      <c r="M125" s="14"/>
      <c r="N125" s="14" t="s">
        <v>18</v>
      </c>
      <c r="O125" s="14"/>
      <c r="P125" s="19" t="s">
        <v>61</v>
      </c>
      <c r="Q125" s="19"/>
      <c r="R125" s="19"/>
      <c r="S125" s="20" t="s">
        <v>61</v>
      </c>
      <c r="T125" s="20"/>
      <c r="U125" s="20"/>
      <c r="V125" s="20"/>
      <c r="W125" s="21" t="s">
        <v>61</v>
      </c>
      <c r="X125" s="21"/>
    </row>
    <row r="126" spans="1:24" s="1" customFormat="1" ht="0.75" customHeight="1">
      <c r="A126" s="22" t="s">
        <v>18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s="1" customFormat="1" ht="13.5" customHeight="1">
      <c r="A127" s="13" t="s">
        <v>186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23" t="s">
        <v>187</v>
      </c>
      <c r="M127" s="23"/>
      <c r="N127" s="23" t="s">
        <v>38</v>
      </c>
      <c r="O127" s="23"/>
      <c r="P127" s="24" t="s">
        <v>61</v>
      </c>
      <c r="Q127" s="24"/>
      <c r="R127" s="24"/>
      <c r="S127" s="20" t="s">
        <v>61</v>
      </c>
      <c r="T127" s="20"/>
      <c r="U127" s="20"/>
      <c r="V127" s="20"/>
      <c r="W127" s="25" t="s">
        <v>61</v>
      </c>
      <c r="X127" s="25"/>
    </row>
    <row r="128" spans="1:24" s="1" customFormat="1" ht="13.5" customHeight="1">
      <c r="A128" s="13" t="s">
        <v>18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 t="s">
        <v>187</v>
      </c>
      <c r="M128" s="14"/>
      <c r="N128" s="14" t="s">
        <v>18</v>
      </c>
      <c r="O128" s="14"/>
      <c r="P128" s="19" t="s">
        <v>61</v>
      </c>
      <c r="Q128" s="19"/>
      <c r="R128" s="19"/>
      <c r="S128" s="20" t="s">
        <v>61</v>
      </c>
      <c r="T128" s="20"/>
      <c r="U128" s="20"/>
      <c r="V128" s="20"/>
      <c r="W128" s="21" t="s">
        <v>61</v>
      </c>
      <c r="X128" s="21"/>
    </row>
    <row r="129" spans="1:24" s="1" customFormat="1" ht="13.5" customHeight="1">
      <c r="A129" s="13" t="s">
        <v>188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 t="s">
        <v>189</v>
      </c>
      <c r="M129" s="14"/>
      <c r="N129" s="14" t="s">
        <v>190</v>
      </c>
      <c r="O129" s="14"/>
      <c r="P129" s="15">
        <f>5144922.42</f>
        <v>5144922.42</v>
      </c>
      <c r="Q129" s="15"/>
      <c r="R129" s="15"/>
      <c r="S129" s="16">
        <f>-2103496</f>
        <v>-2103496</v>
      </c>
      <c r="T129" s="16"/>
      <c r="U129" s="16"/>
      <c r="V129" s="16"/>
      <c r="W129" s="18">
        <f>7248418.42</f>
        <v>7248418.42</v>
      </c>
      <c r="X129" s="18"/>
    </row>
    <row r="130" spans="1:24" s="1" customFormat="1" ht="13.5" customHeight="1">
      <c r="A130" s="13" t="s">
        <v>191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 t="s">
        <v>192</v>
      </c>
      <c r="M130" s="14"/>
      <c r="N130" s="14" t="s">
        <v>193</v>
      </c>
      <c r="O130" s="14"/>
      <c r="P130" s="15">
        <f>-54720977.39</f>
        <v>-54720977.39</v>
      </c>
      <c r="Q130" s="15"/>
      <c r="R130" s="15"/>
      <c r="S130" s="16">
        <f>-29436349.28</f>
        <v>-29436349.28</v>
      </c>
      <c r="T130" s="16"/>
      <c r="U130" s="16"/>
      <c r="V130" s="16"/>
      <c r="W130" s="17" t="s">
        <v>38</v>
      </c>
      <c r="X130" s="17"/>
    </row>
    <row r="131" spans="1:24" s="1" customFormat="1" ht="13.5" customHeight="1">
      <c r="A131" s="13" t="s">
        <v>194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 t="s">
        <v>195</v>
      </c>
      <c r="M131" s="14"/>
      <c r="N131" s="14" t="s">
        <v>196</v>
      </c>
      <c r="O131" s="14"/>
      <c r="P131" s="15">
        <f>59865899.81</f>
        <v>59865899.81</v>
      </c>
      <c r="Q131" s="15"/>
      <c r="R131" s="15"/>
      <c r="S131" s="16">
        <f>27332853.28</f>
        <v>27332853.28</v>
      </c>
      <c r="T131" s="16"/>
      <c r="U131" s="16"/>
      <c r="V131" s="16"/>
      <c r="W131" s="17" t="s">
        <v>38</v>
      </c>
      <c r="X131" s="17"/>
    </row>
    <row r="132" spans="1:24" s="1" customFormat="1" ht="13.5" customHeight="1">
      <c r="A132" s="12" t="s">
        <v>18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s="1" customFormat="1" ht="13.5" customHeight="1">
      <c r="A133" s="9" t="s">
        <v>197</v>
      </c>
      <c r="B133" s="9"/>
      <c r="C133" s="9"/>
      <c r="D133" s="9"/>
      <c r="E133" s="9"/>
      <c r="F133" s="9"/>
      <c r="G133" s="9"/>
      <c r="H133" s="9"/>
      <c r="I133" s="11" t="s">
        <v>18</v>
      </c>
      <c r="J133" s="11"/>
      <c r="K133" s="11"/>
      <c r="L133" s="11"/>
      <c r="M133" s="11"/>
      <c r="N133" s="11" t="s">
        <v>198</v>
      </c>
      <c r="O133" s="11"/>
      <c r="P133" s="11"/>
      <c r="Q133" s="11"/>
      <c r="R133" s="9" t="s">
        <v>18</v>
      </c>
      <c r="S133" s="9"/>
      <c r="T133" s="9"/>
      <c r="U133" s="9"/>
      <c r="V133" s="9"/>
      <c r="W133" s="9"/>
      <c r="X133" s="9"/>
    </row>
    <row r="134" spans="1:24" s="1" customFormat="1" ht="13.5" customHeight="1">
      <c r="A134" s="9" t="s">
        <v>18</v>
      </c>
      <c r="B134" s="9"/>
      <c r="C134" s="9"/>
      <c r="D134" s="9"/>
      <c r="E134" s="9"/>
      <c r="F134" s="9"/>
      <c r="G134" s="9"/>
      <c r="H134" s="9"/>
      <c r="I134" s="5" t="s">
        <v>18</v>
      </c>
      <c r="J134" s="10" t="s">
        <v>199</v>
      </c>
      <c r="K134" s="10"/>
      <c r="L134" s="10"/>
      <c r="M134" s="5" t="s">
        <v>18</v>
      </c>
      <c r="N134" s="5" t="s">
        <v>18</v>
      </c>
      <c r="O134" s="10" t="s">
        <v>200</v>
      </c>
      <c r="P134" s="10"/>
      <c r="Q134" s="9" t="s">
        <v>18</v>
      </c>
      <c r="R134" s="9"/>
      <c r="S134" s="9"/>
      <c r="T134" s="9"/>
      <c r="U134" s="9"/>
      <c r="V134" s="9"/>
      <c r="W134" s="9"/>
      <c r="X134" s="9"/>
    </row>
    <row r="135" spans="1:24" s="1" customFormat="1" ht="7.5" customHeight="1">
      <c r="A135" s="9" t="s">
        <v>18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1" customFormat="1" ht="13.5" customHeight="1">
      <c r="A136" s="9" t="s">
        <v>201</v>
      </c>
      <c r="B136" s="9"/>
      <c r="C136" s="9"/>
      <c r="D136" s="9"/>
      <c r="E136" s="9"/>
      <c r="F136" s="9"/>
      <c r="G136" s="9"/>
      <c r="H136" s="9"/>
      <c r="I136" s="11" t="s">
        <v>18</v>
      </c>
      <c r="J136" s="11"/>
      <c r="K136" s="11"/>
      <c r="L136" s="11"/>
      <c r="M136" s="11"/>
      <c r="N136" s="11" t="s">
        <v>202</v>
      </c>
      <c r="O136" s="11"/>
      <c r="P136" s="11"/>
      <c r="Q136" s="11"/>
      <c r="R136" s="9" t="s">
        <v>18</v>
      </c>
      <c r="S136" s="9"/>
      <c r="T136" s="9"/>
      <c r="U136" s="9"/>
      <c r="V136" s="9"/>
      <c r="W136" s="9"/>
      <c r="X136" s="9"/>
    </row>
    <row r="137" spans="1:24" s="1" customFormat="1" ht="13.5" customHeight="1">
      <c r="A137" s="9" t="s">
        <v>18</v>
      </c>
      <c r="B137" s="9"/>
      <c r="C137" s="9"/>
      <c r="D137" s="9"/>
      <c r="E137" s="9"/>
      <c r="F137" s="9"/>
      <c r="G137" s="9"/>
      <c r="H137" s="9"/>
      <c r="I137" s="5" t="s">
        <v>18</v>
      </c>
      <c r="J137" s="10" t="s">
        <v>199</v>
      </c>
      <c r="K137" s="10"/>
      <c r="L137" s="10"/>
      <c r="M137" s="5" t="s">
        <v>18</v>
      </c>
      <c r="N137" s="5" t="s">
        <v>18</v>
      </c>
      <c r="O137" s="10" t="s">
        <v>200</v>
      </c>
      <c r="P137" s="10"/>
      <c r="Q137" s="9" t="s">
        <v>18</v>
      </c>
      <c r="R137" s="9"/>
      <c r="S137" s="9"/>
      <c r="T137" s="9"/>
      <c r="U137" s="9"/>
      <c r="V137" s="9"/>
      <c r="W137" s="9"/>
      <c r="X137" s="9"/>
    </row>
    <row r="138" spans="1:24" s="1" customFormat="1" ht="7.5" customHeight="1">
      <c r="A138" s="9" t="s">
        <v>18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1" customFormat="1" ht="13.5" customHeight="1">
      <c r="A139" s="9" t="s">
        <v>203</v>
      </c>
      <c r="B139" s="9"/>
      <c r="C139" s="11" t="s">
        <v>204</v>
      </c>
      <c r="D139" s="11"/>
      <c r="E139" s="11"/>
      <c r="F139" s="11"/>
      <c r="G139" s="11"/>
      <c r="H139" s="11"/>
      <c r="I139" s="11" t="s">
        <v>18</v>
      </c>
      <c r="J139" s="11"/>
      <c r="K139" s="11"/>
      <c r="L139" s="11"/>
      <c r="M139" s="11"/>
      <c r="N139" s="11" t="s">
        <v>205</v>
      </c>
      <c r="O139" s="11"/>
      <c r="P139" s="11"/>
      <c r="Q139" s="11"/>
      <c r="R139" s="9" t="s">
        <v>18</v>
      </c>
      <c r="S139" s="9"/>
      <c r="T139" s="9"/>
      <c r="U139" s="9"/>
      <c r="V139" s="9"/>
      <c r="W139" s="9"/>
      <c r="X139" s="9"/>
    </row>
    <row r="140" spans="1:24" s="1" customFormat="1" ht="13.5" customHeight="1">
      <c r="A140" s="9" t="s">
        <v>18</v>
      </c>
      <c r="B140" s="9"/>
      <c r="C140" s="5" t="s">
        <v>18</v>
      </c>
      <c r="D140" s="10" t="s">
        <v>206</v>
      </c>
      <c r="E140" s="10"/>
      <c r="F140" s="10"/>
      <c r="G140" s="10"/>
      <c r="H140" s="5" t="s">
        <v>18</v>
      </c>
      <c r="I140" s="5" t="s">
        <v>18</v>
      </c>
      <c r="J140" s="10" t="s">
        <v>199</v>
      </c>
      <c r="K140" s="10"/>
      <c r="L140" s="10"/>
      <c r="M140" s="5" t="s">
        <v>18</v>
      </c>
      <c r="N140" s="5" t="s">
        <v>18</v>
      </c>
      <c r="O140" s="10" t="s">
        <v>200</v>
      </c>
      <c r="P140" s="10"/>
      <c r="Q140" s="9" t="s">
        <v>18</v>
      </c>
      <c r="R140" s="9"/>
      <c r="S140" s="9"/>
      <c r="T140" s="9"/>
      <c r="U140" s="9"/>
      <c r="V140" s="9"/>
      <c r="W140" s="9"/>
      <c r="X140" s="9"/>
    </row>
    <row r="141" spans="1:24" s="1" customFormat="1" ht="15.75" customHeight="1">
      <c r="A141" s="9" t="s">
        <v>18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s="1" customFormat="1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9" t="s">
        <v>18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</sheetData>
  <sheetProtection/>
  <mergeCells count="75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X32"/>
    <mergeCell ref="A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X118"/>
    <mergeCell ref="A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X126"/>
    <mergeCell ref="A127:K127"/>
    <mergeCell ref="L127:M127"/>
    <mergeCell ref="N127:O127"/>
    <mergeCell ref="P127:R127"/>
    <mergeCell ref="S127:V127"/>
    <mergeCell ref="W127:X127"/>
    <mergeCell ref="A128:K128"/>
    <mergeCell ref="L128:M128"/>
    <mergeCell ref="N128:O128"/>
    <mergeCell ref="P128:R128"/>
    <mergeCell ref="S128:V128"/>
    <mergeCell ref="W128:X128"/>
    <mergeCell ref="A129:K129"/>
    <mergeCell ref="L129:M129"/>
    <mergeCell ref="N129:O129"/>
    <mergeCell ref="P129:R129"/>
    <mergeCell ref="S129:V129"/>
    <mergeCell ref="W129:X129"/>
    <mergeCell ref="A130:K130"/>
    <mergeCell ref="L130:M130"/>
    <mergeCell ref="N130:O130"/>
    <mergeCell ref="P130:R130"/>
    <mergeCell ref="S130:V130"/>
    <mergeCell ref="W130:X130"/>
    <mergeCell ref="A131:K131"/>
    <mergeCell ref="L131:M131"/>
    <mergeCell ref="N131:O131"/>
    <mergeCell ref="P131:R131"/>
    <mergeCell ref="S131:V131"/>
    <mergeCell ref="W131:X131"/>
    <mergeCell ref="A132:X132"/>
    <mergeCell ref="A133:H133"/>
    <mergeCell ref="I133:M133"/>
    <mergeCell ref="N133:Q133"/>
    <mergeCell ref="R133:X133"/>
    <mergeCell ref="A134:H134"/>
    <mergeCell ref="J134:L134"/>
    <mergeCell ref="O134:P134"/>
    <mergeCell ref="Q134:X134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8:X138"/>
    <mergeCell ref="A139:B139"/>
    <mergeCell ref="C139:H139"/>
    <mergeCell ref="I139:M139"/>
    <mergeCell ref="N139:Q139"/>
    <mergeCell ref="R139:X139"/>
    <mergeCell ref="A142:J142"/>
    <mergeCell ref="K142:X142"/>
    <mergeCell ref="A140:B140"/>
    <mergeCell ref="D140:G140"/>
    <mergeCell ref="J140:L140"/>
    <mergeCell ref="O140:P140"/>
    <mergeCell ref="Q140:X140"/>
    <mergeCell ref="A141:X141"/>
  </mergeCells>
  <printOptions/>
  <pageMargins left="0.2" right="0.2" top="0.17" bottom="0" header="0.17" footer="0.16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2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2014-05-28T05:21:55Z</cp:lastPrinted>
  <dcterms:created xsi:type="dcterms:W3CDTF">2014-05-28T05:19:31Z</dcterms:created>
  <dcterms:modified xsi:type="dcterms:W3CDTF">2014-05-28T05:21:57Z</dcterms:modified>
  <cp:category/>
  <cp:version/>
  <cp:contentType/>
  <cp:contentStatus/>
</cp:coreProperties>
</file>