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<sst xmlns="http://schemas.openxmlformats.org/spreadsheetml/2006/main" count="481" uniqueCount="210">
  <si>
    <t>ОТЧЕТ ОБ ИСПОЛНЕНИИ БЮДЖЕТА</t>
  </si>
  <si>
    <t>КОДЫ</t>
  </si>
  <si>
    <t xml:space="preserve">Форма по ОКУД </t>
  </si>
  <si>
    <t>0503117</t>
  </si>
  <si>
    <t>на 1 октября 2013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</si>
  <si>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</si>
  <si>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</si>
  <si>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</si>
  <si>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</si>
  <si>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</si>
  <si>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</si>
  <si>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</si>
  <si>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</si>
  <si>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</si>
  <si>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ОКАТО </t>
  </si>
  <si>
    <t>71126000007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</si>
  <si>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</si>
  <si>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</si>
  <si>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</si>
  <si>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</si>
  <si>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</si>
  <si>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</si>
  <si>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</si>
  <si>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</si>
  <si>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</si>
  <si>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</si>
  <si>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</si>
  <si>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</si>
  <si>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</si>
  <si>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</si>
  <si>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</si>
  <si>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</si>
  <si>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</si>
  <si>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</si>
  <si>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</si>
  <si>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</si>
  <si>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</si>
  <si>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</si>
  <si>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</si>
  <si>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</si>
  <si>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</si>
  <si>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</si>
  <si>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</si>
  <si>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</si>
  <si>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</si>
  <si>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</si>
  <si>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</si>
  <si>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</si>
  <si>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</si>
  <si>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</si>
  <si>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</si>
  <si>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</si>
  <si>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</si>
  <si>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</si>
  <si>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</si>
  <si>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</si>
  <si>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</si>
  <si>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</si>
  <si>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</si>
  <si>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</si>
  <si>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</si>
  <si>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-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</si>
  <si>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</si>
  <si>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</si>
  <si>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</si>
  <si>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</si>
  <si>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</si>
  <si>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</si>
  <si>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</si>
  <si>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</si>
  <si>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</si>
  <si>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</si>
  <si>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</si>
  <si>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</si>
  <si>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</si>
  <si>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</si>
  <si>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</si>
  <si>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</si>
  <si>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</si>
  <si>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</si>
  <si>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</si>
  <si>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</si>
  <si>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</si>
  <si>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</si>
  <si>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</si>
  <si>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</si>
  <si>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</si>
  <si>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</si>
  <si>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</si>
  <si>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</si>
  <si>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</si>
  <si>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</si>
  <si>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</si>
  <si>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</si>
  <si>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Услуги связи</t>
  </si>
  <si>
    <t>650 0104 0020400 242 221</t>
  </si>
  <si>
    <t>Увеличение стоимости материальных запасов</t>
  </si>
  <si>
    <t>650 0104 0020400 242 340</t>
  </si>
  <si>
    <t>650 0104 0020400 244 221</t>
  </si>
  <si>
    <t>650 0104 0020400 244 226</t>
  </si>
  <si>
    <t>Прочие расходы</t>
  </si>
  <si>
    <t>650 0104 0020400 244 290</t>
  </si>
  <si>
    <t>650 0104 0020400 244 340</t>
  </si>
  <si>
    <t>650 0104 0020400 852 290</t>
  </si>
  <si>
    <t>650 0107 0200002 244 290</t>
  </si>
  <si>
    <t>650 0107 0200003 244 290</t>
  </si>
  <si>
    <t>650 0111 0700500 870 290</t>
  </si>
  <si>
    <t>650 0113 0900200 244 226</t>
  </si>
  <si>
    <t>650 0113 0920300 244 340</t>
  </si>
  <si>
    <t>650 0113 0920300 852 290</t>
  </si>
  <si>
    <t>650 0113 0920305 122 212</t>
  </si>
  <si>
    <t>Работы, услуги по содержанию имущества</t>
  </si>
  <si>
    <t>650 0113 0939900 242 225</t>
  </si>
  <si>
    <t>Коммунальные услуги</t>
  </si>
  <si>
    <t>650 0113 0939900 244 223</t>
  </si>
  <si>
    <t>650 0113 0939900 244 225</t>
  </si>
  <si>
    <t>650 0113 0939900 244 226</t>
  </si>
  <si>
    <t>Увеличение стоимости основных средств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</si>
  <si>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</si>
  <si>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</si>
  <si>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</si>
  <si>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</si>
  <si>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</si>
  <si>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</si>
  <si>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650 0304 0013801 121 211</t>
  </si>
  <si>
    <t>650 0304 0013801 121 213</t>
  </si>
  <si>
    <t>650 0304 0013801 244 340</t>
  </si>
  <si>
    <t>650 0309 2180100 244 225</t>
  </si>
  <si>
    <t>650 0309 2180100 244 226</t>
  </si>
  <si>
    <t>650 0309 2180100 244 310</t>
  </si>
  <si>
    <t>650 0309 2180100 244 340</t>
  </si>
  <si>
    <t>650 0314 5222501 244 226</t>
  </si>
  <si>
    <t>650 0314 7950300 244 226</t>
  </si>
  <si>
    <t>650 0409 3150102 244 225</t>
  </si>
  <si>
    <t>650 0409 3150102 244 226</t>
  </si>
  <si>
    <t>650 0409 3150102 244 310</t>
  </si>
  <si>
    <t>650 0409 3150102 244 340</t>
  </si>
  <si>
    <t>650 0409 5227000 243 225</t>
  </si>
  <si>
    <t>650 0410 3300200 242 221</t>
  </si>
  <si>
    <t>650 0410 3300200 242 225</t>
  </si>
  <si>
    <t>650 0410 3300200 242 226</t>
  </si>
  <si>
    <t>650 0410 3300200 242 310</t>
  </si>
  <si>
    <t>650 0410 3300200 242 340</t>
  </si>
  <si>
    <t>650 0503 5227000 244 225</t>
  </si>
  <si>
    <t>650 0503 5227000 244 310</t>
  </si>
  <si>
    <t>650 0503 6000100 244 223</t>
  </si>
  <si>
    <t>650 0503 6000100 244 225</t>
  </si>
  <si>
    <t>650 0503 6000100 244 226</t>
  </si>
  <si>
    <t>650 0503 6000200 244 225</t>
  </si>
  <si>
    <t>650 0503 6000200 244 226</t>
  </si>
  <si>
    <t>650 0503 6000200 244 310</t>
  </si>
  <si>
    <t>650 0503 6000500 244 225</t>
  </si>
  <si>
    <t>650 0503 6000500 244 226</t>
  </si>
  <si>
    <t>650 0707 4310100 244 222</t>
  </si>
  <si>
    <t>650 0707 4310100 244 290</t>
  </si>
  <si>
    <t>650 0707 4310100 244 310</t>
  </si>
  <si>
    <t>650 0707 4310100 244 340</t>
  </si>
  <si>
    <t>Безвозмездные перечисления государственным и муниципальным организациям</t>
  </si>
  <si>
    <t>650 0801 4409900 611 241</t>
  </si>
  <si>
    <t>650 0801 4409900 612 241</t>
  </si>
  <si>
    <t>Пенсии, пособия, выплачиваемые организациями сектора государственного управления</t>
  </si>
  <si>
    <t>650 1001 4910100 313 263</t>
  </si>
  <si>
    <t>Пособия по социальной помощи населению</t>
  </si>
  <si>
    <t>650 1003 5140100 313 262</t>
  </si>
  <si>
    <t>650 1101 4829900 111 211</t>
  </si>
  <si>
    <t>650 1101 4829900 111 213</t>
  </si>
  <si>
    <t>650 1101 4829900 112 212</t>
  </si>
  <si>
    <t>650 1101 4829900 112 222</t>
  </si>
  <si>
    <t>650 1101 4829900 242 221</t>
  </si>
  <si>
    <t>650 1101 4829900 242 225</t>
  </si>
  <si>
    <t>650 1101 4829900 242 226</t>
  </si>
  <si>
    <t>650 1101 4829900 244 223</t>
  </si>
  <si>
    <t>650 1101 4829900 244 225</t>
  </si>
  <si>
    <t>650 1101 4829900 244 226</t>
  </si>
  <si>
    <t>650 1101 4829900 244 290</t>
  </si>
  <si>
    <t>650 1101 4829900 244 310</t>
  </si>
  <si>
    <t>650 1101 4829900 244 340</t>
  </si>
  <si>
    <t>650 1101 4829900 852 290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</si>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</sst>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zoomScalePageLayoutView="0" workbookViewId="0" topLeftCell="A1">
      <selection activeCell="A149" sqref="A14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8.574218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6" t="s">
        <v>5</v>
      </c>
      <c r="W3" s="56"/>
      <c r="X3" s="4">
        <v>41548</v>
      </c>
    </row>
    <row r="4" spans="1:24" s="1" customFormat="1" ht="13.5" customHeight="1">
      <c r="A4" s="9" t="s">
        <v>6</v>
      </c>
      <c r="B4" s="9"/>
      <c r="C4" s="9"/>
      <c r="D4" s="9"/>
      <c r="E4" s="9"/>
      <c r="F4" s="55" t="s">
        <v>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 t="s">
        <v>8</v>
      </c>
      <c r="V4" s="56"/>
      <c r="W4" s="56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 t="s">
        <v>9</v>
      </c>
      <c r="V5" s="56"/>
      <c r="W5" s="56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5" t="s">
        <v>13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 t="s">
        <v>14</v>
      </c>
      <c r="V6" s="56"/>
      <c r="W6" s="56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56" t="s">
        <v>21</v>
      </c>
      <c r="U8" s="56"/>
      <c r="V8" s="56"/>
      <c r="W8" s="56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79617049.03</f>
        <v>79617049.03</v>
      </c>
      <c r="Q12" s="37"/>
      <c r="R12" s="37"/>
      <c r="S12" s="37">
        <f>54918406.09</f>
        <v>54918406.09</v>
      </c>
      <c r="T12" s="37"/>
      <c r="U12" s="37"/>
      <c r="V12" s="37"/>
      <c r="W12" s="51">
        <f>24698642.94</f>
        <v>24698642.94</v>
      </c>
      <c r="X12" s="51"/>
    </row>
    <row r="13" spans="1:24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3">
        <f>2000000</f>
        <v>2000000</v>
      </c>
      <c r="Q13" s="53"/>
      <c r="R13" s="53"/>
      <c r="S13" s="53">
        <f>1213068.89</f>
        <v>1213068.89</v>
      </c>
      <c r="T13" s="53"/>
      <c r="U13" s="53"/>
      <c r="V13" s="53"/>
      <c r="W13" s="54">
        <f>786931.11</f>
        <v>786931.11</v>
      </c>
      <c r="X13" s="54"/>
    </row>
    <row r="14" spans="1:24" s="1" customFormat="1" ht="24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3">
        <f>75000</f>
        <v>75000</v>
      </c>
      <c r="Q14" s="53"/>
      <c r="R14" s="53"/>
      <c r="S14" s="53">
        <f>60405.01</f>
        <v>60405.01</v>
      </c>
      <c r="T14" s="53"/>
      <c r="U14" s="53"/>
      <c r="V14" s="53"/>
      <c r="W14" s="54">
        <f>14594.99</f>
        <v>14594.99</v>
      </c>
      <c r="X14" s="54"/>
    </row>
    <row r="15" spans="1:24" s="1" customFormat="1" ht="45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3">
        <f>3687000</f>
        <v>3687000</v>
      </c>
      <c r="Q15" s="53"/>
      <c r="R15" s="53"/>
      <c r="S15" s="53">
        <f>2872939.39</f>
        <v>2872939.39</v>
      </c>
      <c r="T15" s="53"/>
      <c r="U15" s="53"/>
      <c r="V15" s="53"/>
      <c r="W15" s="54">
        <f>814060.61</f>
        <v>814060.61</v>
      </c>
      <c r="X15" s="54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53">
        <f>35000</f>
        <v>35000</v>
      </c>
      <c r="Q16" s="53"/>
      <c r="R16" s="53"/>
      <c r="S16" s="53">
        <f>18290.3</f>
        <v>18290.3</v>
      </c>
      <c r="T16" s="53"/>
      <c r="U16" s="53"/>
      <c r="V16" s="53"/>
      <c r="W16" s="54">
        <f>16709.7</f>
        <v>16709.7</v>
      </c>
      <c r="X16" s="54"/>
    </row>
    <row r="17" spans="1:24" s="1" customFormat="1" ht="24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48</v>
      </c>
      <c r="O17" s="28"/>
      <c r="P17" s="53">
        <f>25000</f>
        <v>25000</v>
      </c>
      <c r="Q17" s="53"/>
      <c r="R17" s="53"/>
      <c r="S17" s="53">
        <f>2833.23</f>
        <v>2833.23</v>
      </c>
      <c r="T17" s="53"/>
      <c r="U17" s="53"/>
      <c r="V17" s="53"/>
      <c r="W17" s="54">
        <f>22166.77</f>
        <v>22166.77</v>
      </c>
      <c r="X17" s="54"/>
    </row>
    <row r="18" spans="1:24" s="1" customFormat="1" ht="24" customHeight="1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50</v>
      </c>
      <c r="O18" s="28"/>
      <c r="P18" s="53">
        <f>118200</f>
        <v>118200</v>
      </c>
      <c r="Q18" s="53"/>
      <c r="R18" s="53"/>
      <c r="S18" s="53">
        <f>79651.43</f>
        <v>79651.43</v>
      </c>
      <c r="T18" s="53"/>
      <c r="U18" s="53"/>
      <c r="V18" s="53"/>
      <c r="W18" s="54">
        <f>38548.57</f>
        <v>38548.57</v>
      </c>
      <c r="X18" s="54"/>
    </row>
    <row r="19" spans="1:24" s="1" customFormat="1" ht="45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52</v>
      </c>
      <c r="O19" s="28"/>
      <c r="P19" s="53">
        <f>22300</f>
        <v>22300</v>
      </c>
      <c r="Q19" s="53"/>
      <c r="R19" s="53"/>
      <c r="S19" s="53">
        <f>33568.08</f>
        <v>33568.08</v>
      </c>
      <c r="T19" s="53"/>
      <c r="U19" s="53"/>
      <c r="V19" s="53"/>
      <c r="W19" s="54">
        <f>-11268.08</f>
        <v>-11268.08</v>
      </c>
      <c r="X19" s="54"/>
    </row>
    <row r="20" spans="1:24" s="1" customFormat="1" ht="4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54</v>
      </c>
      <c r="O20" s="28"/>
      <c r="P20" s="53">
        <f>33800</f>
        <v>33800</v>
      </c>
      <c r="Q20" s="53"/>
      <c r="R20" s="53"/>
      <c r="S20" s="53">
        <f>4797.47</f>
        <v>4797.47</v>
      </c>
      <c r="T20" s="53"/>
      <c r="U20" s="53"/>
      <c r="V20" s="53"/>
      <c r="W20" s="54">
        <f>29002.53</f>
        <v>29002.53</v>
      </c>
      <c r="X20" s="54"/>
    </row>
    <row r="21" spans="1:24" s="1" customFormat="1" ht="4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56</v>
      </c>
      <c r="O21" s="28"/>
      <c r="P21" s="53">
        <f>80000</f>
        <v>80000</v>
      </c>
      <c r="Q21" s="53"/>
      <c r="R21" s="53"/>
      <c r="S21" s="53">
        <f>56650</f>
        <v>56650</v>
      </c>
      <c r="T21" s="53"/>
      <c r="U21" s="53"/>
      <c r="V21" s="53"/>
      <c r="W21" s="54">
        <f>23350</f>
        <v>23350</v>
      </c>
      <c r="X21" s="54"/>
    </row>
    <row r="22" spans="1:24" s="1" customFormat="1" ht="13.5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58</v>
      </c>
      <c r="O22" s="28"/>
      <c r="P22" s="53">
        <f>156332.55</f>
        <v>156332.55</v>
      </c>
      <c r="Q22" s="53"/>
      <c r="R22" s="53"/>
      <c r="S22" s="53">
        <f>208295.26</f>
        <v>208295.26</v>
      </c>
      <c r="T22" s="53"/>
      <c r="U22" s="53"/>
      <c r="V22" s="53"/>
      <c r="W22" s="54">
        <f>-51962.71</f>
        <v>-51962.71</v>
      </c>
      <c r="X22" s="54"/>
    </row>
    <row r="23" spans="1:24" s="1" customFormat="1" ht="13.5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60</v>
      </c>
      <c r="O23" s="28"/>
      <c r="P23" s="30" t="s">
        <v>61</v>
      </c>
      <c r="Q23" s="30"/>
      <c r="R23" s="30"/>
      <c r="S23" s="53">
        <f>0</f>
        <v>0</v>
      </c>
      <c r="T23" s="53"/>
      <c r="U23" s="53"/>
      <c r="V23" s="53"/>
      <c r="W23" s="54">
        <f>0</f>
        <v>0</v>
      </c>
      <c r="X23" s="54"/>
    </row>
    <row r="24" spans="1:24" s="1" customFormat="1" ht="13.5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3">
        <f>20847500</f>
        <v>20847500</v>
      </c>
      <c r="Q24" s="53"/>
      <c r="R24" s="53"/>
      <c r="S24" s="53">
        <f>15879448</f>
        <v>15879448</v>
      </c>
      <c r="T24" s="53"/>
      <c r="U24" s="53"/>
      <c r="V24" s="53"/>
      <c r="W24" s="54">
        <f>4968052</f>
        <v>4968052</v>
      </c>
      <c r="X24" s="54"/>
    </row>
    <row r="25" spans="1:24" s="1" customFormat="1" ht="24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53">
        <f>51043539.09</f>
        <v>51043539.09</v>
      </c>
      <c r="Q25" s="53"/>
      <c r="R25" s="53"/>
      <c r="S25" s="53">
        <f>33063787.55</f>
        <v>33063787.55</v>
      </c>
      <c r="T25" s="53"/>
      <c r="U25" s="53"/>
      <c r="V25" s="53"/>
      <c r="W25" s="54">
        <f>17979751.54</f>
        <v>17979751.54</v>
      </c>
      <c r="X25" s="54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3">
        <f>33620</f>
        <v>33620</v>
      </c>
      <c r="Q26" s="53"/>
      <c r="R26" s="53"/>
      <c r="S26" s="53">
        <f>33620</f>
        <v>33620</v>
      </c>
      <c r="T26" s="53"/>
      <c r="U26" s="53"/>
      <c r="V26" s="53"/>
      <c r="W26" s="54">
        <f>0</f>
        <v>0</v>
      </c>
      <c r="X26" s="54"/>
    </row>
    <row r="27" spans="1:24" s="1" customFormat="1" ht="24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53">
        <f>144000</f>
        <v>144000</v>
      </c>
      <c r="Q27" s="53"/>
      <c r="R27" s="53"/>
      <c r="S27" s="53">
        <f>144000</f>
        <v>144000</v>
      </c>
      <c r="T27" s="53"/>
      <c r="U27" s="53"/>
      <c r="V27" s="53"/>
      <c r="W27" s="54">
        <f>0</f>
        <v>0</v>
      </c>
      <c r="X27" s="54"/>
    </row>
    <row r="28" spans="1:24" s="1" customFormat="1" ht="33.75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53">
        <f>72500</f>
        <v>72500</v>
      </c>
      <c r="Q28" s="53"/>
      <c r="R28" s="53"/>
      <c r="S28" s="53">
        <f>54375</f>
        <v>54375</v>
      </c>
      <c r="T28" s="53"/>
      <c r="U28" s="53"/>
      <c r="V28" s="53"/>
      <c r="W28" s="54">
        <f>18125</f>
        <v>18125</v>
      </c>
      <c r="X28" s="54"/>
    </row>
    <row r="29" spans="1:24" s="1" customFormat="1" ht="13.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53">
        <f>1244038</f>
        <v>1244038</v>
      </c>
      <c r="Q29" s="53"/>
      <c r="R29" s="53"/>
      <c r="S29" s="53">
        <f>1244038</f>
        <v>1244038</v>
      </c>
      <c r="T29" s="53"/>
      <c r="U29" s="53"/>
      <c r="V29" s="53"/>
      <c r="W29" s="54">
        <f>0</f>
        <v>0</v>
      </c>
      <c r="X29" s="54"/>
    </row>
    <row r="30" spans="1:24" s="1" customFormat="1" ht="54.75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30" t="s">
        <v>61</v>
      </c>
      <c r="Q30" s="30"/>
      <c r="R30" s="30"/>
      <c r="S30" s="53">
        <f>0</f>
        <v>0</v>
      </c>
      <c r="T30" s="53"/>
      <c r="U30" s="53"/>
      <c r="V30" s="53"/>
      <c r="W30" s="54">
        <f>0</f>
        <v>0</v>
      </c>
      <c r="X30" s="54"/>
    </row>
    <row r="31" spans="1:24" s="1" customFormat="1" ht="24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53">
        <f>-780.61</f>
        <v>-780.61</v>
      </c>
      <c r="Q31" s="53"/>
      <c r="R31" s="53"/>
      <c r="S31" s="53">
        <f>-51361.52</f>
        <v>-51361.52</v>
      </c>
      <c r="T31" s="53"/>
      <c r="U31" s="53"/>
      <c r="V31" s="53"/>
      <c r="W31" s="54">
        <f>50580.91</f>
        <v>50580.91</v>
      </c>
      <c r="X31" s="54"/>
    </row>
    <row r="32" spans="1:24" s="1" customFormat="1" ht="13.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1" customFormat="1" ht="13.5" customHeight="1">
      <c r="A33" s="42" t="s">
        <v>78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s="1" customFormat="1" ht="34.5" customHeight="1">
      <c r="A34" s="43" t="s">
        <v>24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 t="s">
        <v>25</v>
      </c>
      <c r="M34" s="43"/>
      <c r="N34" s="43" t="s">
        <v>79</v>
      </c>
      <c r="O34" s="43"/>
      <c r="P34" s="44" t="s">
        <v>27</v>
      </c>
      <c r="Q34" s="44"/>
      <c r="R34" s="44"/>
      <c r="S34" s="44" t="s">
        <v>28</v>
      </c>
      <c r="T34" s="44"/>
      <c r="U34" s="44"/>
      <c r="V34" s="44"/>
      <c r="W34" s="45" t="s">
        <v>29</v>
      </c>
      <c r="X34" s="45"/>
    </row>
    <row r="35" spans="1:24" s="1" customFormat="1" ht="13.5" customHeight="1">
      <c r="A35" s="39" t="s">
        <v>30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 t="s">
        <v>31</v>
      </c>
      <c r="M35" s="39"/>
      <c r="N35" s="39" t="s">
        <v>32</v>
      </c>
      <c r="O35" s="39"/>
      <c r="P35" s="40" t="s">
        <v>33</v>
      </c>
      <c r="Q35" s="40"/>
      <c r="R35" s="40"/>
      <c r="S35" s="40" t="s">
        <v>34</v>
      </c>
      <c r="T35" s="40"/>
      <c r="U35" s="40"/>
      <c r="V35" s="40"/>
      <c r="W35" s="41" t="s">
        <v>35</v>
      </c>
      <c r="X35" s="41"/>
    </row>
    <row r="36" spans="1:24" s="1" customFormat="1" ht="13.5" customHeight="1">
      <c r="A36" s="34" t="s">
        <v>80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 t="s">
        <v>81</v>
      </c>
      <c r="M36" s="35"/>
      <c r="N36" s="35" t="s">
        <v>38</v>
      </c>
      <c r="O36" s="35"/>
      <c r="P36" s="37">
        <f>84761971.45</f>
        <v>84761971.45</v>
      </c>
      <c r="Q36" s="37"/>
      <c r="R36" s="37"/>
      <c r="S36" s="37">
        <f>53512347.1</f>
        <v>53512347.1</v>
      </c>
      <c r="T36" s="37"/>
      <c r="U36" s="37"/>
      <c r="V36" s="37"/>
      <c r="W36" s="51">
        <f>31249624.35</f>
        <v>31249624.35</v>
      </c>
      <c r="X36" s="51"/>
    </row>
    <row r="37" spans="1:24" s="1" customFormat="1" ht="13.5" customHeight="1">
      <c r="A37" s="13" t="s">
        <v>82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 t="s">
        <v>81</v>
      </c>
      <c r="M37" s="14"/>
      <c r="N37" s="14" t="s">
        <v>83</v>
      </c>
      <c r="O37" s="14"/>
      <c r="P37" s="16">
        <f>1405052</f>
        <v>1405052</v>
      </c>
      <c r="Q37" s="16"/>
      <c r="R37" s="16"/>
      <c r="S37" s="16">
        <f>919810.8</f>
        <v>919810.8</v>
      </c>
      <c r="T37" s="16"/>
      <c r="U37" s="16"/>
      <c r="V37" s="16"/>
      <c r="W37" s="50">
        <f>485241.2</f>
        <v>485241.2</v>
      </c>
      <c r="X37" s="50"/>
    </row>
    <row r="38" spans="1:24" s="1" customFormat="1" ht="13.5" customHeight="1">
      <c r="A38" s="13" t="s">
        <v>84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 t="s">
        <v>81</v>
      </c>
      <c r="M38" s="14"/>
      <c r="N38" s="14" t="s">
        <v>85</v>
      </c>
      <c r="O38" s="14"/>
      <c r="P38" s="16">
        <f>242905.2</f>
        <v>242905.2</v>
      </c>
      <c r="Q38" s="16"/>
      <c r="R38" s="16"/>
      <c r="S38" s="16">
        <f>189147.97</f>
        <v>189147.97</v>
      </c>
      <c r="T38" s="16"/>
      <c r="U38" s="16"/>
      <c r="V38" s="16"/>
      <c r="W38" s="50">
        <f>53757.23</f>
        <v>53757.23</v>
      </c>
      <c r="X38" s="50"/>
    </row>
    <row r="39" spans="1:24" s="1" customFormat="1" ht="13.5" customHeight="1">
      <c r="A39" s="13" t="s">
        <v>82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81</v>
      </c>
      <c r="M39" s="14"/>
      <c r="N39" s="14" t="s">
        <v>86</v>
      </c>
      <c r="O39" s="14"/>
      <c r="P39" s="16">
        <f>9253706.16</f>
        <v>9253706.16</v>
      </c>
      <c r="Q39" s="16"/>
      <c r="R39" s="16"/>
      <c r="S39" s="16">
        <f>5814006.5</f>
        <v>5814006.5</v>
      </c>
      <c r="T39" s="16"/>
      <c r="U39" s="16"/>
      <c r="V39" s="16"/>
      <c r="W39" s="50">
        <f>3439699.66</f>
        <v>3439699.66</v>
      </c>
      <c r="X39" s="50"/>
    </row>
    <row r="40" spans="1:24" s="1" customFormat="1" ht="13.5" customHeight="1">
      <c r="A40" s="13" t="s">
        <v>84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 t="s">
        <v>81</v>
      </c>
      <c r="M40" s="14"/>
      <c r="N40" s="14" t="s">
        <v>87</v>
      </c>
      <c r="O40" s="14"/>
      <c r="P40" s="16">
        <f>2280000</f>
        <v>2280000</v>
      </c>
      <c r="Q40" s="16"/>
      <c r="R40" s="16"/>
      <c r="S40" s="16">
        <f>1712530.79</f>
        <v>1712530.79</v>
      </c>
      <c r="T40" s="16"/>
      <c r="U40" s="16"/>
      <c r="V40" s="16"/>
      <c r="W40" s="50">
        <f>567469.21</f>
        <v>567469.21</v>
      </c>
      <c r="X40" s="50"/>
    </row>
    <row r="41" spans="1:24" s="1" customFormat="1" ht="13.5" customHeight="1">
      <c r="A41" s="13" t="s">
        <v>88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 t="s">
        <v>81</v>
      </c>
      <c r="M41" s="14"/>
      <c r="N41" s="14" t="s">
        <v>89</v>
      </c>
      <c r="O41" s="14"/>
      <c r="P41" s="16">
        <f>8400</f>
        <v>8400</v>
      </c>
      <c r="Q41" s="16"/>
      <c r="R41" s="16"/>
      <c r="S41" s="16">
        <f>5400</f>
        <v>5400</v>
      </c>
      <c r="T41" s="16"/>
      <c r="U41" s="16"/>
      <c r="V41" s="16"/>
      <c r="W41" s="50">
        <f>3000</f>
        <v>3000</v>
      </c>
      <c r="X41" s="50"/>
    </row>
    <row r="42" spans="1:24" s="1" customFormat="1" ht="13.5" customHeight="1">
      <c r="A42" s="13" t="s">
        <v>90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 t="s">
        <v>81</v>
      </c>
      <c r="M42" s="14"/>
      <c r="N42" s="14" t="s">
        <v>91</v>
      </c>
      <c r="O42" s="14"/>
      <c r="P42" s="16">
        <f>3000</f>
        <v>3000</v>
      </c>
      <c r="Q42" s="16"/>
      <c r="R42" s="16"/>
      <c r="S42" s="16">
        <f>1300</f>
        <v>1300</v>
      </c>
      <c r="T42" s="16"/>
      <c r="U42" s="16"/>
      <c r="V42" s="16"/>
      <c r="W42" s="50">
        <f>1700</f>
        <v>1700</v>
      </c>
      <c r="X42" s="50"/>
    </row>
    <row r="43" spans="1:24" s="1" customFormat="1" ht="13.5" customHeight="1">
      <c r="A43" s="13" t="s">
        <v>92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81</v>
      </c>
      <c r="M43" s="14"/>
      <c r="N43" s="14" t="s">
        <v>93</v>
      </c>
      <c r="O43" s="14"/>
      <c r="P43" s="16">
        <f>9900</f>
        <v>9900</v>
      </c>
      <c r="Q43" s="16"/>
      <c r="R43" s="16"/>
      <c r="S43" s="16">
        <f>5444</f>
        <v>5444</v>
      </c>
      <c r="T43" s="16"/>
      <c r="U43" s="16"/>
      <c r="V43" s="16"/>
      <c r="W43" s="50">
        <f>4456</f>
        <v>4456</v>
      </c>
      <c r="X43" s="50"/>
    </row>
    <row r="44" spans="1:24" s="1" customFormat="1" ht="13.5" customHeight="1">
      <c r="A44" s="13" t="s">
        <v>94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 t="s">
        <v>81</v>
      </c>
      <c r="M44" s="14"/>
      <c r="N44" s="14" t="s">
        <v>95</v>
      </c>
      <c r="O44" s="14"/>
      <c r="P44" s="16">
        <f>0</f>
        <v>0</v>
      </c>
      <c r="Q44" s="16"/>
      <c r="R44" s="16"/>
      <c r="S44" s="20" t="s">
        <v>61</v>
      </c>
      <c r="T44" s="20"/>
      <c r="U44" s="20"/>
      <c r="V44" s="20"/>
      <c r="W44" s="50">
        <f>0</f>
        <v>0</v>
      </c>
      <c r="X44" s="50"/>
    </row>
    <row r="45" spans="1:24" s="1" customFormat="1" ht="13.5" customHeight="1">
      <c r="A45" s="13" t="s">
        <v>96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81</v>
      </c>
      <c r="M45" s="14"/>
      <c r="N45" s="14" t="s">
        <v>97</v>
      </c>
      <c r="O45" s="14"/>
      <c r="P45" s="16">
        <f>0</f>
        <v>0</v>
      </c>
      <c r="Q45" s="16"/>
      <c r="R45" s="16"/>
      <c r="S45" s="20" t="s">
        <v>61</v>
      </c>
      <c r="T45" s="20"/>
      <c r="U45" s="20"/>
      <c r="V45" s="20"/>
      <c r="W45" s="50">
        <f>0</f>
        <v>0</v>
      </c>
      <c r="X45" s="50"/>
    </row>
    <row r="46" spans="1:24" s="1" customFormat="1" ht="13.5" customHeight="1">
      <c r="A46" s="13" t="s">
        <v>94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81</v>
      </c>
      <c r="M46" s="14"/>
      <c r="N46" s="14" t="s">
        <v>98</v>
      </c>
      <c r="O46" s="14"/>
      <c r="P46" s="16">
        <f>6500</f>
        <v>6500</v>
      </c>
      <c r="Q46" s="16"/>
      <c r="R46" s="16"/>
      <c r="S46" s="16">
        <f>2785.65</f>
        <v>2785.65</v>
      </c>
      <c r="T46" s="16"/>
      <c r="U46" s="16"/>
      <c r="V46" s="16"/>
      <c r="W46" s="50">
        <f>3714.35</f>
        <v>3714.35</v>
      </c>
      <c r="X46" s="50"/>
    </row>
    <row r="47" spans="1:24" s="1" customFormat="1" ht="13.5" customHeight="1">
      <c r="A47" s="13" t="s">
        <v>92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81</v>
      </c>
      <c r="M47" s="14"/>
      <c r="N47" s="14" t="s">
        <v>99</v>
      </c>
      <c r="O47" s="14"/>
      <c r="P47" s="16">
        <f>247331.84</f>
        <v>247331.84</v>
      </c>
      <c r="Q47" s="16"/>
      <c r="R47" s="16"/>
      <c r="S47" s="16">
        <f>144196.84</f>
        <v>144196.84</v>
      </c>
      <c r="T47" s="16"/>
      <c r="U47" s="16"/>
      <c r="V47" s="16"/>
      <c r="W47" s="50">
        <f>103135</f>
        <v>103135</v>
      </c>
      <c r="X47" s="50"/>
    </row>
    <row r="48" spans="1:24" s="1" customFormat="1" ht="13.5" customHeight="1">
      <c r="A48" s="13" t="s">
        <v>100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81</v>
      </c>
      <c r="M48" s="14"/>
      <c r="N48" s="14" t="s">
        <v>101</v>
      </c>
      <c r="O48" s="14"/>
      <c r="P48" s="16">
        <f>206000</f>
        <v>206000</v>
      </c>
      <c r="Q48" s="16"/>
      <c r="R48" s="16"/>
      <c r="S48" s="16">
        <f>104500</f>
        <v>104500</v>
      </c>
      <c r="T48" s="16"/>
      <c r="U48" s="16"/>
      <c r="V48" s="16"/>
      <c r="W48" s="50">
        <f>101500</f>
        <v>101500</v>
      </c>
      <c r="X48" s="50"/>
    </row>
    <row r="49" spans="1:24" s="1" customFormat="1" ht="13.5" customHeight="1">
      <c r="A49" s="13" t="s">
        <v>96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81</v>
      </c>
      <c r="M49" s="14"/>
      <c r="N49" s="14" t="s">
        <v>102</v>
      </c>
      <c r="O49" s="14"/>
      <c r="P49" s="16">
        <f>66970.16</f>
        <v>66970.16</v>
      </c>
      <c r="Q49" s="16"/>
      <c r="R49" s="16"/>
      <c r="S49" s="16">
        <f>58135.5</f>
        <v>58135.5</v>
      </c>
      <c r="T49" s="16"/>
      <c r="U49" s="16"/>
      <c r="V49" s="16"/>
      <c r="W49" s="50">
        <f>8834.66</f>
        <v>8834.66</v>
      </c>
      <c r="X49" s="50"/>
    </row>
    <row r="50" spans="1:24" s="1" customFormat="1" ht="13.5" customHeight="1">
      <c r="A50" s="13" t="s">
        <v>100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81</v>
      </c>
      <c r="M50" s="14"/>
      <c r="N50" s="14" t="s">
        <v>103</v>
      </c>
      <c r="O50" s="14"/>
      <c r="P50" s="16">
        <f>27736.1</f>
        <v>27736.1</v>
      </c>
      <c r="Q50" s="16"/>
      <c r="R50" s="16"/>
      <c r="S50" s="16">
        <f>19236.1</f>
        <v>19236.1</v>
      </c>
      <c r="T50" s="16"/>
      <c r="U50" s="16"/>
      <c r="V50" s="16"/>
      <c r="W50" s="50">
        <f>8500</f>
        <v>8500</v>
      </c>
      <c r="X50" s="50"/>
    </row>
    <row r="51" spans="1:24" s="1" customFormat="1" ht="13.5" customHeight="1">
      <c r="A51" s="13" t="s">
        <v>100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81</v>
      </c>
      <c r="M51" s="14"/>
      <c r="N51" s="14" t="s">
        <v>104</v>
      </c>
      <c r="O51" s="14"/>
      <c r="P51" s="16">
        <f>463000</f>
        <v>463000</v>
      </c>
      <c r="Q51" s="16"/>
      <c r="R51" s="16"/>
      <c r="S51" s="16">
        <f>463000</f>
        <v>463000</v>
      </c>
      <c r="T51" s="16"/>
      <c r="U51" s="16"/>
      <c r="V51" s="16"/>
      <c r="W51" s="50">
        <f>0</f>
        <v>0</v>
      </c>
      <c r="X51" s="50"/>
    </row>
    <row r="52" spans="1:24" s="1" customFormat="1" ht="13.5" customHeight="1">
      <c r="A52" s="13" t="s">
        <v>100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81</v>
      </c>
      <c r="M52" s="14"/>
      <c r="N52" s="14" t="s">
        <v>105</v>
      </c>
      <c r="O52" s="14"/>
      <c r="P52" s="16">
        <f>415000</f>
        <v>415000</v>
      </c>
      <c r="Q52" s="16"/>
      <c r="R52" s="16"/>
      <c r="S52" s="16">
        <f>415000</f>
        <v>415000</v>
      </c>
      <c r="T52" s="16"/>
      <c r="U52" s="16"/>
      <c r="V52" s="16"/>
      <c r="W52" s="50">
        <f>0</f>
        <v>0</v>
      </c>
      <c r="X52" s="50"/>
    </row>
    <row r="53" spans="1:24" s="1" customFormat="1" ht="13.5" customHeight="1">
      <c r="A53" s="13" t="s">
        <v>100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81</v>
      </c>
      <c r="M53" s="14"/>
      <c r="N53" s="14" t="s">
        <v>106</v>
      </c>
      <c r="O53" s="14"/>
      <c r="P53" s="16">
        <f>365000</f>
        <v>365000</v>
      </c>
      <c r="Q53" s="16"/>
      <c r="R53" s="16"/>
      <c r="S53" s="20" t="s">
        <v>61</v>
      </c>
      <c r="T53" s="20"/>
      <c r="U53" s="20"/>
      <c r="V53" s="20"/>
      <c r="W53" s="50">
        <f>365000</f>
        <v>365000</v>
      </c>
      <c r="X53" s="50"/>
    </row>
    <row r="54" spans="1:24" s="1" customFormat="1" ht="13.5" customHeight="1">
      <c r="A54" s="13" t="s">
        <v>92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81</v>
      </c>
      <c r="M54" s="14"/>
      <c r="N54" s="14" t="s">
        <v>107</v>
      </c>
      <c r="O54" s="14"/>
      <c r="P54" s="16">
        <f>8536.9</f>
        <v>8536.9</v>
      </c>
      <c r="Q54" s="16"/>
      <c r="R54" s="16"/>
      <c r="S54" s="16">
        <f>8536.9</f>
        <v>8536.9</v>
      </c>
      <c r="T54" s="16"/>
      <c r="U54" s="16"/>
      <c r="V54" s="16"/>
      <c r="W54" s="50">
        <f>0</f>
        <v>0</v>
      </c>
      <c r="X54" s="50"/>
    </row>
    <row r="55" spans="1:24" s="1" customFormat="1" ht="13.5" customHeight="1">
      <c r="A55" s="13" t="s">
        <v>96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81</v>
      </c>
      <c r="M55" s="14"/>
      <c r="N55" s="14" t="s">
        <v>108</v>
      </c>
      <c r="O55" s="14"/>
      <c r="P55" s="16">
        <f>6128</f>
        <v>6128</v>
      </c>
      <c r="Q55" s="16"/>
      <c r="R55" s="16"/>
      <c r="S55" s="16">
        <f>788.83</f>
        <v>788.83</v>
      </c>
      <c r="T55" s="16"/>
      <c r="U55" s="16"/>
      <c r="V55" s="16"/>
      <c r="W55" s="50">
        <f>5339.17</f>
        <v>5339.17</v>
      </c>
      <c r="X55" s="50"/>
    </row>
    <row r="56" spans="1:24" s="1" customFormat="1" ht="13.5" customHeight="1">
      <c r="A56" s="13" t="s">
        <v>100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81</v>
      </c>
      <c r="M56" s="14"/>
      <c r="N56" s="14" t="s">
        <v>109</v>
      </c>
      <c r="O56" s="14"/>
      <c r="P56" s="16">
        <f>100</f>
        <v>100</v>
      </c>
      <c r="Q56" s="16"/>
      <c r="R56" s="16"/>
      <c r="S56" s="16">
        <f>0.14</f>
        <v>0.14</v>
      </c>
      <c r="T56" s="16"/>
      <c r="U56" s="16"/>
      <c r="V56" s="16"/>
      <c r="W56" s="50">
        <f>99.86</f>
        <v>99.86</v>
      </c>
      <c r="X56" s="50"/>
    </row>
    <row r="57" spans="1:24" s="1" customFormat="1" ht="13.5" customHeight="1">
      <c r="A57" s="13" t="s">
        <v>88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81</v>
      </c>
      <c r="M57" s="14"/>
      <c r="N57" s="14" t="s">
        <v>110</v>
      </c>
      <c r="O57" s="14"/>
      <c r="P57" s="16">
        <f>1080000</f>
        <v>1080000</v>
      </c>
      <c r="Q57" s="16"/>
      <c r="R57" s="16"/>
      <c r="S57" s="16">
        <f>997476</f>
        <v>997476</v>
      </c>
      <c r="T57" s="16"/>
      <c r="U57" s="16"/>
      <c r="V57" s="16"/>
      <c r="W57" s="50">
        <f>82524</f>
        <v>82524</v>
      </c>
      <c r="X57" s="50"/>
    </row>
    <row r="58" spans="1:24" s="1" customFormat="1" ht="13.5" customHeight="1">
      <c r="A58" s="13" t="s">
        <v>111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 t="s">
        <v>81</v>
      </c>
      <c r="M58" s="14"/>
      <c r="N58" s="14" t="s">
        <v>112</v>
      </c>
      <c r="O58" s="14"/>
      <c r="P58" s="16">
        <f>0</f>
        <v>0</v>
      </c>
      <c r="Q58" s="16"/>
      <c r="R58" s="16"/>
      <c r="S58" s="20" t="s">
        <v>61</v>
      </c>
      <c r="T58" s="20"/>
      <c r="U58" s="20"/>
      <c r="V58" s="20"/>
      <c r="W58" s="50">
        <f>0</f>
        <v>0</v>
      </c>
      <c r="X58" s="50"/>
    </row>
    <row r="59" spans="1:24" s="1" customFormat="1" ht="13.5" customHeight="1">
      <c r="A59" s="13" t="s">
        <v>113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81</v>
      </c>
      <c r="M59" s="14"/>
      <c r="N59" s="14" t="s">
        <v>114</v>
      </c>
      <c r="O59" s="14"/>
      <c r="P59" s="16">
        <f>248523.87</f>
        <v>248523.87</v>
      </c>
      <c r="Q59" s="16"/>
      <c r="R59" s="16"/>
      <c r="S59" s="16">
        <f>127433.62</f>
        <v>127433.62</v>
      </c>
      <c r="T59" s="16"/>
      <c r="U59" s="16"/>
      <c r="V59" s="16"/>
      <c r="W59" s="50">
        <f>121090.25</f>
        <v>121090.25</v>
      </c>
      <c r="X59" s="50"/>
    </row>
    <row r="60" spans="1:24" s="1" customFormat="1" ht="13.5" customHeight="1">
      <c r="A60" s="13" t="s">
        <v>111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81</v>
      </c>
      <c r="M60" s="14"/>
      <c r="N60" s="14" t="s">
        <v>115</v>
      </c>
      <c r="O60" s="14"/>
      <c r="P60" s="16">
        <f>230426.4</f>
        <v>230426.4</v>
      </c>
      <c r="Q60" s="16"/>
      <c r="R60" s="16"/>
      <c r="S60" s="16">
        <f>105324.56</f>
        <v>105324.56</v>
      </c>
      <c r="T60" s="16"/>
      <c r="U60" s="16"/>
      <c r="V60" s="16"/>
      <c r="W60" s="50">
        <f>125101.84</f>
        <v>125101.84</v>
      </c>
      <c r="X60" s="50"/>
    </row>
    <row r="61" spans="1:24" s="1" customFormat="1" ht="13.5" customHeight="1">
      <c r="A61" s="13" t="s">
        <v>92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81</v>
      </c>
      <c r="M61" s="14"/>
      <c r="N61" s="14" t="s">
        <v>116</v>
      </c>
      <c r="O61" s="14"/>
      <c r="P61" s="16">
        <f>219959.82</f>
        <v>219959.82</v>
      </c>
      <c r="Q61" s="16"/>
      <c r="R61" s="16"/>
      <c r="S61" s="16">
        <f>45648.3</f>
        <v>45648.3</v>
      </c>
      <c r="T61" s="16"/>
      <c r="U61" s="16"/>
      <c r="V61" s="16"/>
      <c r="W61" s="50">
        <f>174311.52</f>
        <v>174311.52</v>
      </c>
      <c r="X61" s="50"/>
    </row>
    <row r="62" spans="1:24" s="1" customFormat="1" ht="13.5" customHeight="1">
      <c r="A62" s="13" t="s">
        <v>117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81</v>
      </c>
      <c r="M62" s="14"/>
      <c r="N62" s="14" t="s">
        <v>118</v>
      </c>
      <c r="O62" s="14"/>
      <c r="P62" s="16">
        <f>476866</f>
        <v>476866</v>
      </c>
      <c r="Q62" s="16"/>
      <c r="R62" s="16"/>
      <c r="S62" s="16">
        <f>476866</f>
        <v>476866</v>
      </c>
      <c r="T62" s="16"/>
      <c r="U62" s="16"/>
      <c r="V62" s="16"/>
      <c r="W62" s="50">
        <f>0</f>
        <v>0</v>
      </c>
      <c r="X62" s="50"/>
    </row>
    <row r="63" spans="1:24" s="1" customFormat="1" ht="13.5" customHeight="1">
      <c r="A63" s="13" t="s">
        <v>96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81</v>
      </c>
      <c r="M63" s="14"/>
      <c r="N63" s="14" t="s">
        <v>119</v>
      </c>
      <c r="O63" s="14"/>
      <c r="P63" s="16">
        <f>873826</f>
        <v>873826</v>
      </c>
      <c r="Q63" s="16"/>
      <c r="R63" s="16"/>
      <c r="S63" s="16">
        <f>500262.06</f>
        <v>500262.06</v>
      </c>
      <c r="T63" s="16"/>
      <c r="U63" s="16"/>
      <c r="V63" s="16"/>
      <c r="W63" s="50">
        <f>373563.94</f>
        <v>373563.94</v>
      </c>
      <c r="X63" s="50"/>
    </row>
    <row r="64" spans="1:24" s="1" customFormat="1" ht="13.5" customHeight="1">
      <c r="A64" s="13" t="s">
        <v>100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81</v>
      </c>
      <c r="M64" s="14"/>
      <c r="N64" s="14" t="s">
        <v>120</v>
      </c>
      <c r="O64" s="14"/>
      <c r="P64" s="16">
        <f>42692</f>
        <v>42692</v>
      </c>
      <c r="Q64" s="16"/>
      <c r="R64" s="16"/>
      <c r="S64" s="16">
        <f>28046</f>
        <v>28046</v>
      </c>
      <c r="T64" s="16"/>
      <c r="U64" s="16"/>
      <c r="V64" s="16"/>
      <c r="W64" s="50">
        <f>14646</f>
        <v>14646</v>
      </c>
      <c r="X64" s="50"/>
    </row>
    <row r="65" spans="1:24" s="1" customFormat="1" ht="13.5" customHeight="1">
      <c r="A65" s="13" t="s">
        <v>82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 t="s">
        <v>81</v>
      </c>
      <c r="M65" s="14"/>
      <c r="N65" s="14" t="s">
        <v>121</v>
      </c>
      <c r="O65" s="14"/>
      <c r="P65" s="16">
        <f>113296</f>
        <v>113296</v>
      </c>
      <c r="Q65" s="16"/>
      <c r="R65" s="16"/>
      <c r="S65" s="16">
        <f>77391.57</f>
        <v>77391.57</v>
      </c>
      <c r="T65" s="16"/>
      <c r="U65" s="16"/>
      <c r="V65" s="16"/>
      <c r="W65" s="50">
        <f>35904.43</f>
        <v>35904.43</v>
      </c>
      <c r="X65" s="50"/>
    </row>
    <row r="66" spans="1:24" s="1" customFormat="1" ht="13.5" customHeight="1">
      <c r="A66" s="13" t="s">
        <v>84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81</v>
      </c>
      <c r="M66" s="14"/>
      <c r="N66" s="14" t="s">
        <v>122</v>
      </c>
      <c r="O66" s="14"/>
      <c r="P66" s="16">
        <f>30704</f>
        <v>30704</v>
      </c>
      <c r="Q66" s="16"/>
      <c r="R66" s="16"/>
      <c r="S66" s="16">
        <f>20973.48</f>
        <v>20973.48</v>
      </c>
      <c r="T66" s="16"/>
      <c r="U66" s="16"/>
      <c r="V66" s="16"/>
      <c r="W66" s="50">
        <f>9730.52</f>
        <v>9730.52</v>
      </c>
      <c r="X66" s="50"/>
    </row>
    <row r="67" spans="1:24" s="1" customFormat="1" ht="13.5" customHeight="1">
      <c r="A67" s="13" t="s">
        <v>90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81</v>
      </c>
      <c r="M67" s="14"/>
      <c r="N67" s="14" t="s">
        <v>123</v>
      </c>
      <c r="O67" s="14"/>
      <c r="P67" s="16">
        <f>51000</f>
        <v>51000</v>
      </c>
      <c r="Q67" s="16"/>
      <c r="R67" s="16"/>
      <c r="S67" s="16">
        <f>33000</f>
        <v>33000</v>
      </c>
      <c r="T67" s="16"/>
      <c r="U67" s="16"/>
      <c r="V67" s="16"/>
      <c r="W67" s="50">
        <f>18000</f>
        <v>18000</v>
      </c>
      <c r="X67" s="50"/>
    </row>
    <row r="68" spans="1:24" s="1" customFormat="1" ht="13.5" customHeight="1">
      <c r="A68" s="13" t="s">
        <v>82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81</v>
      </c>
      <c r="M68" s="14"/>
      <c r="N68" s="14" t="s">
        <v>124</v>
      </c>
      <c r="O68" s="14"/>
      <c r="P68" s="16">
        <f>24878</f>
        <v>24878</v>
      </c>
      <c r="Q68" s="16"/>
      <c r="R68" s="16"/>
      <c r="S68" s="16">
        <f>18658.5</f>
        <v>18658.5</v>
      </c>
      <c r="T68" s="16"/>
      <c r="U68" s="16"/>
      <c r="V68" s="16"/>
      <c r="W68" s="50">
        <f>6219.5</f>
        <v>6219.5</v>
      </c>
      <c r="X68" s="50"/>
    </row>
    <row r="69" spans="1:24" s="1" customFormat="1" ht="13.5" customHeight="1">
      <c r="A69" s="13" t="s">
        <v>84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81</v>
      </c>
      <c r="M69" s="14"/>
      <c r="N69" s="14" t="s">
        <v>125</v>
      </c>
      <c r="O69" s="14"/>
      <c r="P69" s="16">
        <f>6742</f>
        <v>6742</v>
      </c>
      <c r="Q69" s="16"/>
      <c r="R69" s="16"/>
      <c r="S69" s="16">
        <f>5056.81</f>
        <v>5056.81</v>
      </c>
      <c r="T69" s="16"/>
      <c r="U69" s="16"/>
      <c r="V69" s="16"/>
      <c r="W69" s="50">
        <f>1685.19</f>
        <v>1685.19</v>
      </c>
      <c r="X69" s="50"/>
    </row>
    <row r="70" spans="1:24" s="1" customFormat="1" ht="13.5" customHeight="1">
      <c r="A70" s="13" t="s">
        <v>96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81</v>
      </c>
      <c r="M70" s="14"/>
      <c r="N70" s="14" t="s">
        <v>126</v>
      </c>
      <c r="O70" s="14"/>
      <c r="P70" s="16">
        <f>2000</f>
        <v>2000</v>
      </c>
      <c r="Q70" s="16"/>
      <c r="R70" s="16"/>
      <c r="S70" s="16">
        <f>2000</f>
        <v>2000</v>
      </c>
      <c r="T70" s="16"/>
      <c r="U70" s="16"/>
      <c r="V70" s="16"/>
      <c r="W70" s="50">
        <f>0</f>
        <v>0</v>
      </c>
      <c r="X70" s="50"/>
    </row>
    <row r="71" spans="1:24" s="1" customFormat="1" ht="13.5" customHeight="1">
      <c r="A71" s="13" t="s">
        <v>111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81</v>
      </c>
      <c r="M71" s="14"/>
      <c r="N71" s="14" t="s">
        <v>127</v>
      </c>
      <c r="O71" s="14"/>
      <c r="P71" s="16">
        <f>1930000</f>
        <v>1930000</v>
      </c>
      <c r="Q71" s="16"/>
      <c r="R71" s="16"/>
      <c r="S71" s="20" t="s">
        <v>61</v>
      </c>
      <c r="T71" s="20"/>
      <c r="U71" s="20"/>
      <c r="V71" s="20"/>
      <c r="W71" s="50">
        <f>1930000</f>
        <v>1930000</v>
      </c>
      <c r="X71" s="50"/>
    </row>
    <row r="72" spans="1:24" s="1" customFormat="1" ht="13.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 t="s">
        <v>81</v>
      </c>
      <c r="M72" s="14"/>
      <c r="N72" s="14" t="s">
        <v>128</v>
      </c>
      <c r="O72" s="14"/>
      <c r="P72" s="16">
        <f>288980.17</f>
        <v>288980.17</v>
      </c>
      <c r="Q72" s="16"/>
      <c r="R72" s="16"/>
      <c r="S72" s="16">
        <f>49048.67</f>
        <v>49048.67</v>
      </c>
      <c r="T72" s="16"/>
      <c r="U72" s="16"/>
      <c r="V72" s="16"/>
      <c r="W72" s="50">
        <f>239931.5</f>
        <v>239931.5</v>
      </c>
      <c r="X72" s="50"/>
    </row>
    <row r="73" spans="1:24" s="1" customFormat="1" ht="13.5" customHeight="1">
      <c r="A73" s="13" t="s">
        <v>117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81</v>
      </c>
      <c r="M73" s="14"/>
      <c r="N73" s="14" t="s">
        <v>129</v>
      </c>
      <c r="O73" s="14"/>
      <c r="P73" s="16">
        <f>69099.86</f>
        <v>69099.86</v>
      </c>
      <c r="Q73" s="16"/>
      <c r="R73" s="16"/>
      <c r="S73" s="16">
        <f>69099.86</f>
        <v>69099.86</v>
      </c>
      <c r="T73" s="16"/>
      <c r="U73" s="16"/>
      <c r="V73" s="16"/>
      <c r="W73" s="50">
        <f>0</f>
        <v>0</v>
      </c>
      <c r="X73" s="50"/>
    </row>
    <row r="74" spans="1:24" s="1" customFormat="1" ht="13.5" customHeight="1">
      <c r="A74" s="13" t="s">
        <v>96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81</v>
      </c>
      <c r="M74" s="14"/>
      <c r="N74" s="14" t="s">
        <v>130</v>
      </c>
      <c r="O74" s="14"/>
      <c r="P74" s="16">
        <f>290719.97</f>
        <v>290719.97</v>
      </c>
      <c r="Q74" s="16"/>
      <c r="R74" s="16"/>
      <c r="S74" s="16">
        <f>119820.02</f>
        <v>119820.02</v>
      </c>
      <c r="T74" s="16"/>
      <c r="U74" s="16"/>
      <c r="V74" s="16"/>
      <c r="W74" s="50">
        <f>170899.95</f>
        <v>170899.95</v>
      </c>
      <c r="X74" s="50"/>
    </row>
    <row r="75" spans="1:24" s="1" customFormat="1" ht="13.5" customHeight="1">
      <c r="A75" s="13" t="s">
        <v>92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81</v>
      </c>
      <c r="M75" s="14"/>
      <c r="N75" s="14" t="s">
        <v>131</v>
      </c>
      <c r="O75" s="14"/>
      <c r="P75" s="16">
        <f>15161</f>
        <v>15161</v>
      </c>
      <c r="Q75" s="16"/>
      <c r="R75" s="16"/>
      <c r="S75" s="20" t="s">
        <v>61</v>
      </c>
      <c r="T75" s="20"/>
      <c r="U75" s="20"/>
      <c r="V75" s="20"/>
      <c r="W75" s="50">
        <f>15161</f>
        <v>15161</v>
      </c>
      <c r="X75" s="50"/>
    </row>
    <row r="76" spans="1:24" s="1" customFormat="1" ht="13.5" customHeight="1">
      <c r="A76" s="13" t="s">
        <v>92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81</v>
      </c>
      <c r="M76" s="14"/>
      <c r="N76" s="14" t="s">
        <v>132</v>
      </c>
      <c r="O76" s="14"/>
      <c r="P76" s="16">
        <f>1677</f>
        <v>1677</v>
      </c>
      <c r="Q76" s="16"/>
      <c r="R76" s="16"/>
      <c r="S76" s="20" t="s">
        <v>61</v>
      </c>
      <c r="T76" s="20"/>
      <c r="U76" s="20"/>
      <c r="V76" s="20"/>
      <c r="W76" s="50">
        <f>1677</f>
        <v>1677</v>
      </c>
      <c r="X76" s="50"/>
    </row>
    <row r="77" spans="1:24" s="1" customFormat="1" ht="13.5" customHeight="1">
      <c r="A77" s="13" t="s">
        <v>111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81</v>
      </c>
      <c r="M77" s="14"/>
      <c r="N77" s="14" t="s">
        <v>133</v>
      </c>
      <c r="O77" s="14"/>
      <c r="P77" s="16">
        <f>2223503.16</f>
        <v>2223503.16</v>
      </c>
      <c r="Q77" s="16"/>
      <c r="R77" s="16"/>
      <c r="S77" s="16">
        <f>851482.21</f>
        <v>851482.21</v>
      </c>
      <c r="T77" s="16"/>
      <c r="U77" s="16"/>
      <c r="V77" s="16"/>
      <c r="W77" s="50">
        <f>1372020.95</f>
        <v>1372020.95</v>
      </c>
      <c r="X77" s="50"/>
    </row>
    <row r="78" spans="1:24" s="1" customFormat="1" ht="13.5" customHeight="1">
      <c r="A78" s="13" t="s">
        <v>92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81</v>
      </c>
      <c r="M78" s="14"/>
      <c r="N78" s="14" t="s">
        <v>134</v>
      </c>
      <c r="O78" s="14"/>
      <c r="P78" s="16">
        <f>14949</f>
        <v>14949</v>
      </c>
      <c r="Q78" s="16"/>
      <c r="R78" s="16"/>
      <c r="S78" s="16">
        <f>13410</f>
        <v>13410</v>
      </c>
      <c r="T78" s="16"/>
      <c r="U78" s="16"/>
      <c r="V78" s="16"/>
      <c r="W78" s="50">
        <f>1539</f>
        <v>1539</v>
      </c>
      <c r="X78" s="50"/>
    </row>
    <row r="79" spans="1:24" s="1" customFormat="1" ht="13.5" customHeight="1">
      <c r="A79" s="13" t="s">
        <v>117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81</v>
      </c>
      <c r="M79" s="14"/>
      <c r="N79" s="14" t="s">
        <v>135</v>
      </c>
      <c r="O79" s="14"/>
      <c r="P79" s="16">
        <f>29430</f>
        <v>29430</v>
      </c>
      <c r="Q79" s="16"/>
      <c r="R79" s="16"/>
      <c r="S79" s="16">
        <f>29423.3</f>
        <v>29423.3</v>
      </c>
      <c r="T79" s="16"/>
      <c r="U79" s="16"/>
      <c r="V79" s="16"/>
      <c r="W79" s="50">
        <f>6.7</f>
        <v>6.7</v>
      </c>
      <c r="X79" s="50"/>
    </row>
    <row r="80" spans="1:24" s="1" customFormat="1" ht="13.5" customHeight="1">
      <c r="A80" s="13" t="s">
        <v>96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 t="s">
        <v>81</v>
      </c>
      <c r="M80" s="14"/>
      <c r="N80" s="14" t="s">
        <v>136</v>
      </c>
      <c r="O80" s="14"/>
      <c r="P80" s="16">
        <f>35160</f>
        <v>35160</v>
      </c>
      <c r="Q80" s="16"/>
      <c r="R80" s="16"/>
      <c r="S80" s="16">
        <f>8480</f>
        <v>8480</v>
      </c>
      <c r="T80" s="16"/>
      <c r="U80" s="16"/>
      <c r="V80" s="16"/>
      <c r="W80" s="50">
        <f>26680</f>
        <v>26680</v>
      </c>
      <c r="X80" s="50"/>
    </row>
    <row r="81" spans="1:24" s="1" customFormat="1" ht="13.5" customHeight="1">
      <c r="A81" s="13" t="s">
        <v>111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81</v>
      </c>
      <c r="M81" s="14"/>
      <c r="N81" s="14" t="s">
        <v>137</v>
      </c>
      <c r="O81" s="14"/>
      <c r="P81" s="16">
        <f>0</f>
        <v>0</v>
      </c>
      <c r="Q81" s="16"/>
      <c r="R81" s="16"/>
      <c r="S81" s="20" t="s">
        <v>61</v>
      </c>
      <c r="T81" s="20"/>
      <c r="U81" s="20"/>
      <c r="V81" s="20"/>
      <c r="W81" s="50">
        <f>0</f>
        <v>0</v>
      </c>
      <c r="X81" s="50"/>
    </row>
    <row r="82" spans="1:24" s="1" customFormat="1" ht="13.5" customHeight="1">
      <c r="A82" s="13" t="s">
        <v>94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81</v>
      </c>
      <c r="M82" s="14"/>
      <c r="N82" s="14" t="s">
        <v>138</v>
      </c>
      <c r="O82" s="14"/>
      <c r="P82" s="16">
        <f>266864</f>
        <v>266864</v>
      </c>
      <c r="Q82" s="16"/>
      <c r="R82" s="16"/>
      <c r="S82" s="16">
        <f>137799.03</f>
        <v>137799.03</v>
      </c>
      <c r="T82" s="16"/>
      <c r="U82" s="16"/>
      <c r="V82" s="16"/>
      <c r="W82" s="50">
        <f>129064.97</f>
        <v>129064.97</v>
      </c>
      <c r="X82" s="50"/>
    </row>
    <row r="83" spans="1:24" s="1" customFormat="1" ht="13.5" customHeight="1">
      <c r="A83" s="13" t="s">
        <v>111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81</v>
      </c>
      <c r="M83" s="14"/>
      <c r="N83" s="14" t="s">
        <v>139</v>
      </c>
      <c r="O83" s="14"/>
      <c r="P83" s="16">
        <f>22645</f>
        <v>22645</v>
      </c>
      <c r="Q83" s="16"/>
      <c r="R83" s="16"/>
      <c r="S83" s="16">
        <f>15920</f>
        <v>15920</v>
      </c>
      <c r="T83" s="16"/>
      <c r="U83" s="16"/>
      <c r="V83" s="16"/>
      <c r="W83" s="50">
        <f>6725</f>
        <v>6725</v>
      </c>
      <c r="X83" s="50"/>
    </row>
    <row r="84" spans="1:24" s="1" customFormat="1" ht="13.5" customHeight="1">
      <c r="A84" s="13" t="s">
        <v>92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81</v>
      </c>
      <c r="M84" s="14"/>
      <c r="N84" s="14" t="s">
        <v>140</v>
      </c>
      <c r="O84" s="14"/>
      <c r="P84" s="16">
        <f>506603</f>
        <v>506603</v>
      </c>
      <c r="Q84" s="16"/>
      <c r="R84" s="16"/>
      <c r="S84" s="16">
        <f>267207.96</f>
        <v>267207.96</v>
      </c>
      <c r="T84" s="16"/>
      <c r="U84" s="16"/>
      <c r="V84" s="16"/>
      <c r="W84" s="50">
        <f>239395.04</f>
        <v>239395.04</v>
      </c>
      <c r="X84" s="50"/>
    </row>
    <row r="85" spans="1:24" s="1" customFormat="1" ht="13.5" customHeight="1">
      <c r="A85" s="13" t="s">
        <v>117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81</v>
      </c>
      <c r="M85" s="14"/>
      <c r="N85" s="14" t="s">
        <v>141</v>
      </c>
      <c r="O85" s="14"/>
      <c r="P85" s="16">
        <f>20000</f>
        <v>20000</v>
      </c>
      <c r="Q85" s="16"/>
      <c r="R85" s="16"/>
      <c r="S85" s="16">
        <f>7564.8</f>
        <v>7564.8</v>
      </c>
      <c r="T85" s="16"/>
      <c r="U85" s="16"/>
      <c r="V85" s="16"/>
      <c r="W85" s="50">
        <f>12435.2</f>
        <v>12435.2</v>
      </c>
      <c r="X85" s="50"/>
    </row>
    <row r="86" spans="1:24" s="1" customFormat="1" ht="13.5" customHeight="1">
      <c r="A86" s="13" t="s">
        <v>96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81</v>
      </c>
      <c r="M86" s="14"/>
      <c r="N86" s="14" t="s">
        <v>142</v>
      </c>
      <c r="O86" s="14"/>
      <c r="P86" s="16">
        <f>47332.55</f>
        <v>47332.55</v>
      </c>
      <c r="Q86" s="16"/>
      <c r="R86" s="16"/>
      <c r="S86" s="16">
        <f>17359</f>
        <v>17359</v>
      </c>
      <c r="T86" s="16"/>
      <c r="U86" s="16"/>
      <c r="V86" s="16"/>
      <c r="W86" s="50">
        <f>29973.55</f>
        <v>29973.55</v>
      </c>
      <c r="X86" s="50"/>
    </row>
    <row r="87" spans="1:24" s="1" customFormat="1" ht="13.5" customHeight="1">
      <c r="A87" s="13" t="s">
        <v>111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81</v>
      </c>
      <c r="M87" s="14"/>
      <c r="N87" s="14" t="s">
        <v>143</v>
      </c>
      <c r="O87" s="14"/>
      <c r="P87" s="16">
        <f>0</f>
        <v>0</v>
      </c>
      <c r="Q87" s="16"/>
      <c r="R87" s="16"/>
      <c r="S87" s="20" t="s">
        <v>61</v>
      </c>
      <c r="T87" s="20"/>
      <c r="U87" s="20"/>
      <c r="V87" s="20"/>
      <c r="W87" s="50">
        <f>0</f>
        <v>0</v>
      </c>
      <c r="X87" s="50"/>
    </row>
    <row r="88" spans="1:24" s="1" customFormat="1" ht="13.5" customHeight="1">
      <c r="A88" s="13" t="s">
        <v>117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81</v>
      </c>
      <c r="M88" s="14"/>
      <c r="N88" s="14" t="s">
        <v>144</v>
      </c>
      <c r="O88" s="14"/>
      <c r="P88" s="16">
        <f>604657</f>
        <v>604657</v>
      </c>
      <c r="Q88" s="16"/>
      <c r="R88" s="16"/>
      <c r="S88" s="16">
        <f>604657</f>
        <v>604657</v>
      </c>
      <c r="T88" s="16"/>
      <c r="U88" s="16"/>
      <c r="V88" s="16"/>
      <c r="W88" s="50">
        <f>0</f>
        <v>0</v>
      </c>
      <c r="X88" s="50"/>
    </row>
    <row r="89" spans="1:24" s="1" customFormat="1" ht="13.5" customHeight="1">
      <c r="A89" s="13" t="s">
        <v>113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81</v>
      </c>
      <c r="M89" s="14"/>
      <c r="N89" s="14" t="s">
        <v>145</v>
      </c>
      <c r="O89" s="14"/>
      <c r="P89" s="16">
        <f>252000</f>
        <v>252000</v>
      </c>
      <c r="Q89" s="16"/>
      <c r="R89" s="16"/>
      <c r="S89" s="16">
        <f>76197.27</f>
        <v>76197.27</v>
      </c>
      <c r="T89" s="16"/>
      <c r="U89" s="16"/>
      <c r="V89" s="16"/>
      <c r="W89" s="50">
        <f>175802.73</f>
        <v>175802.73</v>
      </c>
      <c r="X89" s="50"/>
    </row>
    <row r="90" spans="1:24" s="1" customFormat="1" ht="13.5" customHeight="1">
      <c r="A90" s="13" t="s">
        <v>111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 t="s">
        <v>81</v>
      </c>
      <c r="M90" s="14"/>
      <c r="N90" s="14" t="s">
        <v>146</v>
      </c>
      <c r="O90" s="14"/>
      <c r="P90" s="16">
        <f>788464.64</f>
        <v>788464.64</v>
      </c>
      <c r="Q90" s="16"/>
      <c r="R90" s="16"/>
      <c r="S90" s="16">
        <f>515650.82</f>
        <v>515650.82</v>
      </c>
      <c r="T90" s="16"/>
      <c r="U90" s="16"/>
      <c r="V90" s="16"/>
      <c r="W90" s="50">
        <f>272813.82</f>
        <v>272813.82</v>
      </c>
      <c r="X90" s="50"/>
    </row>
    <row r="91" spans="1:24" s="1" customFormat="1" ht="13.5" customHeight="1">
      <c r="A91" s="13" t="s">
        <v>92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81</v>
      </c>
      <c r="M91" s="14"/>
      <c r="N91" s="14" t="s">
        <v>147</v>
      </c>
      <c r="O91" s="14"/>
      <c r="P91" s="16">
        <f>13410</f>
        <v>13410</v>
      </c>
      <c r="Q91" s="16"/>
      <c r="R91" s="16"/>
      <c r="S91" s="16">
        <f>13410</f>
        <v>13410</v>
      </c>
      <c r="T91" s="16"/>
      <c r="U91" s="16"/>
      <c r="V91" s="16"/>
      <c r="W91" s="50">
        <f>0</f>
        <v>0</v>
      </c>
      <c r="X91" s="50"/>
    </row>
    <row r="92" spans="1:24" s="1" customFormat="1" ht="13.5" customHeight="1">
      <c r="A92" s="13" t="s">
        <v>111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81</v>
      </c>
      <c r="M92" s="14"/>
      <c r="N92" s="14" t="s">
        <v>148</v>
      </c>
      <c r="O92" s="14"/>
      <c r="P92" s="16">
        <f>0</f>
        <v>0</v>
      </c>
      <c r="Q92" s="16"/>
      <c r="R92" s="16"/>
      <c r="S92" s="16">
        <f>0</f>
        <v>0</v>
      </c>
      <c r="T92" s="16"/>
      <c r="U92" s="16"/>
      <c r="V92" s="16"/>
      <c r="W92" s="50">
        <f>0</f>
        <v>0</v>
      </c>
      <c r="X92" s="50"/>
    </row>
    <row r="93" spans="1:24" s="1" customFormat="1" ht="13.5" customHeight="1">
      <c r="A93" s="13" t="s">
        <v>92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81</v>
      </c>
      <c r="M93" s="14"/>
      <c r="N93" s="14" t="s">
        <v>149</v>
      </c>
      <c r="O93" s="14"/>
      <c r="P93" s="16">
        <f>0</f>
        <v>0</v>
      </c>
      <c r="Q93" s="16"/>
      <c r="R93" s="16"/>
      <c r="S93" s="20" t="s">
        <v>61</v>
      </c>
      <c r="T93" s="20"/>
      <c r="U93" s="20"/>
      <c r="V93" s="20"/>
      <c r="W93" s="50">
        <f>0</f>
        <v>0</v>
      </c>
      <c r="X93" s="50"/>
    </row>
    <row r="94" spans="1:24" s="1" customFormat="1" ht="13.5" customHeight="1">
      <c r="A94" s="13" t="s">
        <v>117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81</v>
      </c>
      <c r="M94" s="14"/>
      <c r="N94" s="14" t="s">
        <v>150</v>
      </c>
      <c r="O94" s="14"/>
      <c r="P94" s="16">
        <f>0</f>
        <v>0</v>
      </c>
      <c r="Q94" s="16"/>
      <c r="R94" s="16"/>
      <c r="S94" s="20" t="s">
        <v>61</v>
      </c>
      <c r="T94" s="20"/>
      <c r="U94" s="20"/>
      <c r="V94" s="20"/>
      <c r="W94" s="50">
        <f>0</f>
        <v>0</v>
      </c>
      <c r="X94" s="50"/>
    </row>
    <row r="95" spans="1:24" s="1" customFormat="1" ht="13.5" customHeight="1">
      <c r="A95" s="13" t="s">
        <v>111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81</v>
      </c>
      <c r="M95" s="14"/>
      <c r="N95" s="14" t="s">
        <v>151</v>
      </c>
      <c r="O95" s="14"/>
      <c r="P95" s="16">
        <f>439709</f>
        <v>439709</v>
      </c>
      <c r="Q95" s="16"/>
      <c r="R95" s="16"/>
      <c r="S95" s="16">
        <f>13971.25</f>
        <v>13971.25</v>
      </c>
      <c r="T95" s="16"/>
      <c r="U95" s="16"/>
      <c r="V95" s="16"/>
      <c r="W95" s="50">
        <f>425737.75</f>
        <v>425737.75</v>
      </c>
      <c r="X95" s="50"/>
    </row>
    <row r="96" spans="1:24" s="1" customFormat="1" ht="13.5" customHeight="1">
      <c r="A96" s="13" t="s">
        <v>92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81</v>
      </c>
      <c r="M96" s="14"/>
      <c r="N96" s="14" t="s">
        <v>152</v>
      </c>
      <c r="O96" s="14"/>
      <c r="P96" s="16">
        <f>2500</f>
        <v>2500</v>
      </c>
      <c r="Q96" s="16"/>
      <c r="R96" s="16"/>
      <c r="S96" s="16">
        <f>1539</f>
        <v>1539</v>
      </c>
      <c r="T96" s="16"/>
      <c r="U96" s="16"/>
      <c r="V96" s="16"/>
      <c r="W96" s="50">
        <f>961</f>
        <v>961</v>
      </c>
      <c r="X96" s="50"/>
    </row>
    <row r="97" spans="1:24" s="1" customFormat="1" ht="13.5" customHeight="1">
      <c r="A97" s="13" t="s">
        <v>90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81</v>
      </c>
      <c r="M97" s="14"/>
      <c r="N97" s="14" t="s">
        <v>153</v>
      </c>
      <c r="O97" s="14"/>
      <c r="P97" s="16">
        <f>94000</f>
        <v>94000</v>
      </c>
      <c r="Q97" s="16"/>
      <c r="R97" s="16"/>
      <c r="S97" s="16">
        <f>49500</f>
        <v>49500</v>
      </c>
      <c r="T97" s="16"/>
      <c r="U97" s="16"/>
      <c r="V97" s="16"/>
      <c r="W97" s="50">
        <f>44500</f>
        <v>44500</v>
      </c>
      <c r="X97" s="50"/>
    </row>
    <row r="98" spans="1:24" s="1" customFormat="1" ht="13.5" customHeight="1">
      <c r="A98" s="13" t="s">
        <v>100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81</v>
      </c>
      <c r="M98" s="14"/>
      <c r="N98" s="14" t="s">
        <v>154</v>
      </c>
      <c r="O98" s="14"/>
      <c r="P98" s="16">
        <f>15500</f>
        <v>15500</v>
      </c>
      <c r="Q98" s="16"/>
      <c r="R98" s="16"/>
      <c r="S98" s="16">
        <f>15500</f>
        <v>15500</v>
      </c>
      <c r="T98" s="16"/>
      <c r="U98" s="16"/>
      <c r="V98" s="16"/>
      <c r="W98" s="50">
        <f>0</f>
        <v>0</v>
      </c>
      <c r="X98" s="50"/>
    </row>
    <row r="99" spans="1:24" s="1" customFormat="1" ht="13.5" customHeight="1">
      <c r="A99" s="13" t="s">
        <v>117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81</v>
      </c>
      <c r="M99" s="14"/>
      <c r="N99" s="14" t="s">
        <v>155</v>
      </c>
      <c r="O99" s="14"/>
      <c r="P99" s="16">
        <f>5000</f>
        <v>5000</v>
      </c>
      <c r="Q99" s="16"/>
      <c r="R99" s="16"/>
      <c r="S99" s="20" t="s">
        <v>61</v>
      </c>
      <c r="T99" s="20"/>
      <c r="U99" s="20"/>
      <c r="V99" s="20"/>
      <c r="W99" s="50">
        <f>5000</f>
        <v>5000</v>
      </c>
      <c r="X99" s="50"/>
    </row>
    <row r="100" spans="1:24" s="1" customFormat="1" ht="13.5" customHeight="1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 t="s">
        <v>81</v>
      </c>
      <c r="M100" s="14"/>
      <c r="N100" s="14" t="s">
        <v>156</v>
      </c>
      <c r="O100" s="14"/>
      <c r="P100" s="16">
        <f>84500</f>
        <v>84500</v>
      </c>
      <c r="Q100" s="16"/>
      <c r="R100" s="16"/>
      <c r="S100" s="16">
        <f>64500</f>
        <v>64500</v>
      </c>
      <c r="T100" s="16"/>
      <c r="U100" s="16"/>
      <c r="V100" s="16"/>
      <c r="W100" s="50">
        <f>20000</f>
        <v>20000</v>
      </c>
      <c r="X100" s="50"/>
    </row>
    <row r="101" spans="1:24" s="1" customFormat="1" ht="13.5" customHeight="1">
      <c r="A101" s="13" t="s">
        <v>157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81</v>
      </c>
      <c r="M101" s="14"/>
      <c r="N101" s="14" t="s">
        <v>158</v>
      </c>
      <c r="O101" s="14"/>
      <c r="P101" s="16">
        <f>8862996.72</f>
        <v>8862996.72</v>
      </c>
      <c r="Q101" s="16"/>
      <c r="R101" s="16"/>
      <c r="S101" s="16">
        <f>7017802.63</f>
        <v>7017802.63</v>
      </c>
      <c r="T101" s="16"/>
      <c r="U101" s="16"/>
      <c r="V101" s="16"/>
      <c r="W101" s="50">
        <f>1845194.09</f>
        <v>1845194.09</v>
      </c>
      <c r="X101" s="50"/>
    </row>
    <row r="102" spans="1:24" s="1" customFormat="1" ht="13.5" customHeight="1">
      <c r="A102" s="13" t="s">
        <v>157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81</v>
      </c>
      <c r="M102" s="14"/>
      <c r="N102" s="14" t="s">
        <v>159</v>
      </c>
      <c r="O102" s="14"/>
      <c r="P102" s="16">
        <f>389200</f>
        <v>389200</v>
      </c>
      <c r="Q102" s="16"/>
      <c r="R102" s="16"/>
      <c r="S102" s="16">
        <f>389200</f>
        <v>389200</v>
      </c>
      <c r="T102" s="16"/>
      <c r="U102" s="16"/>
      <c r="V102" s="16"/>
      <c r="W102" s="50">
        <f>0</f>
        <v>0</v>
      </c>
      <c r="X102" s="50"/>
    </row>
    <row r="103" spans="1:24" s="1" customFormat="1" ht="24" customHeight="1">
      <c r="A103" s="13" t="s">
        <v>160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81</v>
      </c>
      <c r="M103" s="14"/>
      <c r="N103" s="14" t="s">
        <v>161</v>
      </c>
      <c r="O103" s="14"/>
      <c r="P103" s="16">
        <f>300000</f>
        <v>300000</v>
      </c>
      <c r="Q103" s="16"/>
      <c r="R103" s="16"/>
      <c r="S103" s="16">
        <f>225000</f>
        <v>225000</v>
      </c>
      <c r="T103" s="16"/>
      <c r="U103" s="16"/>
      <c r="V103" s="16"/>
      <c r="W103" s="50">
        <f>75000</f>
        <v>75000</v>
      </c>
      <c r="X103" s="50"/>
    </row>
    <row r="104" spans="1:24" s="1" customFormat="1" ht="13.5" customHeight="1">
      <c r="A104" s="13" t="s">
        <v>162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81</v>
      </c>
      <c r="M104" s="14"/>
      <c r="N104" s="14" t="s">
        <v>163</v>
      </c>
      <c r="O104" s="14"/>
      <c r="P104" s="16">
        <f>40000</f>
        <v>40000</v>
      </c>
      <c r="Q104" s="16"/>
      <c r="R104" s="16"/>
      <c r="S104" s="16">
        <f>30000</f>
        <v>30000</v>
      </c>
      <c r="T104" s="16"/>
      <c r="U104" s="16"/>
      <c r="V104" s="16"/>
      <c r="W104" s="50">
        <f>10000</f>
        <v>10000</v>
      </c>
      <c r="X104" s="50"/>
    </row>
    <row r="105" spans="1:24" s="1" customFormat="1" ht="13.5" customHeight="1">
      <c r="A105" s="13" t="s">
        <v>82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81</v>
      </c>
      <c r="M105" s="14"/>
      <c r="N105" s="14" t="s">
        <v>164</v>
      </c>
      <c r="O105" s="14"/>
      <c r="P105" s="16">
        <f>2877652.1</f>
        <v>2877652.1</v>
      </c>
      <c r="Q105" s="16"/>
      <c r="R105" s="16"/>
      <c r="S105" s="16">
        <f>1947688.18</f>
        <v>1947688.18</v>
      </c>
      <c r="T105" s="16"/>
      <c r="U105" s="16"/>
      <c r="V105" s="16"/>
      <c r="W105" s="50">
        <f>929963.92</f>
        <v>929963.92</v>
      </c>
      <c r="X105" s="50"/>
    </row>
    <row r="106" spans="1:24" s="1" customFormat="1" ht="13.5" customHeight="1">
      <c r="A106" s="13" t="s">
        <v>84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81</v>
      </c>
      <c r="M106" s="14"/>
      <c r="N106" s="14" t="s">
        <v>165</v>
      </c>
      <c r="O106" s="14"/>
      <c r="P106" s="16">
        <f>867700.73</f>
        <v>867700.73</v>
      </c>
      <c r="Q106" s="16"/>
      <c r="R106" s="16"/>
      <c r="S106" s="16">
        <f>552419.37</f>
        <v>552419.37</v>
      </c>
      <c r="T106" s="16"/>
      <c r="U106" s="16"/>
      <c r="V106" s="16"/>
      <c r="W106" s="50">
        <f>315281.36</f>
        <v>315281.36</v>
      </c>
      <c r="X106" s="50"/>
    </row>
    <row r="107" spans="1:24" s="1" customFormat="1" ht="13.5" customHeight="1">
      <c r="A107" s="13" t="s">
        <v>88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81</v>
      </c>
      <c r="M107" s="14"/>
      <c r="N107" s="14" t="s">
        <v>166</v>
      </c>
      <c r="O107" s="14"/>
      <c r="P107" s="16">
        <f>102601.2</f>
        <v>102601.2</v>
      </c>
      <c r="Q107" s="16"/>
      <c r="R107" s="16"/>
      <c r="S107" s="16">
        <f>36779.9</f>
        <v>36779.9</v>
      </c>
      <c r="T107" s="16"/>
      <c r="U107" s="16"/>
      <c r="V107" s="16"/>
      <c r="W107" s="50">
        <f>65821.3</f>
        <v>65821.3</v>
      </c>
      <c r="X107" s="50"/>
    </row>
    <row r="108" spans="1:24" s="1" customFormat="1" ht="13.5" customHeight="1">
      <c r="A108" s="13" t="s">
        <v>90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81</v>
      </c>
      <c r="M108" s="14"/>
      <c r="N108" s="14" t="s">
        <v>167</v>
      </c>
      <c r="O108" s="14"/>
      <c r="P108" s="16">
        <f>56600</f>
        <v>56600</v>
      </c>
      <c r="Q108" s="16"/>
      <c r="R108" s="16"/>
      <c r="S108" s="16">
        <f>30570.3</f>
        <v>30570.3</v>
      </c>
      <c r="T108" s="16"/>
      <c r="U108" s="16"/>
      <c r="V108" s="16"/>
      <c r="W108" s="50">
        <f>26029.7</f>
        <v>26029.7</v>
      </c>
      <c r="X108" s="50"/>
    </row>
    <row r="109" spans="1:24" s="1" customFormat="1" ht="13.5" customHeight="1">
      <c r="A109" s="13" t="s">
        <v>94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 t="s">
        <v>81</v>
      </c>
      <c r="M109" s="14"/>
      <c r="N109" s="14" t="s">
        <v>168</v>
      </c>
      <c r="O109" s="14"/>
      <c r="P109" s="16">
        <f>36496.79</f>
        <v>36496.79</v>
      </c>
      <c r="Q109" s="16"/>
      <c r="R109" s="16"/>
      <c r="S109" s="16">
        <f>5719.76</f>
        <v>5719.76</v>
      </c>
      <c r="T109" s="16"/>
      <c r="U109" s="16"/>
      <c r="V109" s="16"/>
      <c r="W109" s="50">
        <f>30777.03</f>
        <v>30777.03</v>
      </c>
      <c r="X109" s="50"/>
    </row>
    <row r="110" spans="1:24" s="1" customFormat="1" ht="13.5" customHeight="1">
      <c r="A110" s="13" t="s">
        <v>111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81</v>
      </c>
      <c r="M110" s="14"/>
      <c r="N110" s="14" t="s">
        <v>169</v>
      </c>
      <c r="O110" s="14"/>
      <c r="P110" s="16">
        <f>3000</f>
        <v>3000</v>
      </c>
      <c r="Q110" s="16"/>
      <c r="R110" s="16"/>
      <c r="S110" s="16">
        <f>800</f>
        <v>800</v>
      </c>
      <c r="T110" s="16"/>
      <c r="U110" s="16"/>
      <c r="V110" s="16"/>
      <c r="W110" s="50">
        <f>2200</f>
        <v>2200</v>
      </c>
      <c r="X110" s="50"/>
    </row>
    <row r="111" spans="1:24" s="1" customFormat="1" ht="13.5" customHeight="1">
      <c r="A111" s="13" t="s">
        <v>92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81</v>
      </c>
      <c r="M111" s="14"/>
      <c r="N111" s="14" t="s">
        <v>170</v>
      </c>
      <c r="O111" s="14"/>
      <c r="P111" s="16">
        <f>10896</f>
        <v>10896</v>
      </c>
      <c r="Q111" s="16"/>
      <c r="R111" s="16"/>
      <c r="S111" s="16">
        <f>6504</f>
        <v>6504</v>
      </c>
      <c r="T111" s="16"/>
      <c r="U111" s="16"/>
      <c r="V111" s="16"/>
      <c r="W111" s="50">
        <f>4392</f>
        <v>4392</v>
      </c>
      <c r="X111" s="50"/>
    </row>
    <row r="112" spans="1:24" s="1" customFormat="1" ht="13.5" customHeight="1">
      <c r="A112" s="13" t="s">
        <v>113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81</v>
      </c>
      <c r="M112" s="14"/>
      <c r="N112" s="14" t="s">
        <v>171</v>
      </c>
      <c r="O112" s="14"/>
      <c r="P112" s="16">
        <f>618070.09</f>
        <v>618070.09</v>
      </c>
      <c r="Q112" s="16"/>
      <c r="R112" s="16"/>
      <c r="S112" s="16">
        <f>339169.09</f>
        <v>339169.09</v>
      </c>
      <c r="T112" s="16"/>
      <c r="U112" s="16"/>
      <c r="V112" s="16"/>
      <c r="W112" s="50">
        <f>278901</f>
        <v>278901</v>
      </c>
      <c r="X112" s="50"/>
    </row>
    <row r="113" spans="1:24" s="1" customFormat="1" ht="13.5" customHeight="1">
      <c r="A113" s="13" t="s">
        <v>111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81</v>
      </c>
      <c r="M113" s="14"/>
      <c r="N113" s="14" t="s">
        <v>172</v>
      </c>
      <c r="O113" s="14"/>
      <c r="P113" s="16">
        <f>154655.92</f>
        <v>154655.92</v>
      </c>
      <c r="Q113" s="16"/>
      <c r="R113" s="16"/>
      <c r="S113" s="16">
        <f>87608.08</f>
        <v>87608.08</v>
      </c>
      <c r="T113" s="16"/>
      <c r="U113" s="16"/>
      <c r="V113" s="16"/>
      <c r="W113" s="50">
        <f>67047.84</f>
        <v>67047.84</v>
      </c>
      <c r="X113" s="50"/>
    </row>
    <row r="114" spans="1:24" s="1" customFormat="1" ht="13.5" customHeight="1">
      <c r="A114" s="13" t="s">
        <v>92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 t="s">
        <v>81</v>
      </c>
      <c r="M114" s="14"/>
      <c r="N114" s="14" t="s">
        <v>173</v>
      </c>
      <c r="O114" s="14"/>
      <c r="P114" s="16">
        <f>86000</f>
        <v>86000</v>
      </c>
      <c r="Q114" s="16"/>
      <c r="R114" s="16"/>
      <c r="S114" s="16">
        <f>3500</f>
        <v>3500</v>
      </c>
      <c r="T114" s="16"/>
      <c r="U114" s="16"/>
      <c r="V114" s="16"/>
      <c r="W114" s="50">
        <f>82500</f>
        <v>82500</v>
      </c>
      <c r="X114" s="50"/>
    </row>
    <row r="115" spans="1:24" s="1" customFormat="1" ht="13.5" customHeight="1">
      <c r="A115" s="13" t="s">
        <v>100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 t="s">
        <v>81</v>
      </c>
      <c r="M115" s="14"/>
      <c r="N115" s="14" t="s">
        <v>174</v>
      </c>
      <c r="O115" s="14"/>
      <c r="P115" s="16">
        <f>76000</f>
        <v>76000</v>
      </c>
      <c r="Q115" s="16"/>
      <c r="R115" s="16"/>
      <c r="S115" s="16">
        <f>40000</f>
        <v>40000</v>
      </c>
      <c r="T115" s="16"/>
      <c r="U115" s="16"/>
      <c r="V115" s="16"/>
      <c r="W115" s="50">
        <f>36000</f>
        <v>36000</v>
      </c>
      <c r="X115" s="50"/>
    </row>
    <row r="116" spans="1:24" s="1" customFormat="1" ht="13.5" customHeight="1">
      <c r="A116" s="13" t="s">
        <v>117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 t="s">
        <v>81</v>
      </c>
      <c r="M116" s="14"/>
      <c r="N116" s="14" t="s">
        <v>175</v>
      </c>
      <c r="O116" s="14"/>
      <c r="P116" s="16">
        <f>117000</f>
        <v>117000</v>
      </c>
      <c r="Q116" s="16"/>
      <c r="R116" s="16"/>
      <c r="S116" s="16">
        <f>107000</f>
        <v>107000</v>
      </c>
      <c r="T116" s="16"/>
      <c r="U116" s="16"/>
      <c r="V116" s="16"/>
      <c r="W116" s="50">
        <f>10000</f>
        <v>10000</v>
      </c>
      <c r="X116" s="50"/>
    </row>
    <row r="117" spans="1:24" s="1" customFormat="1" ht="13.5" customHeight="1">
      <c r="A117" s="13" t="s">
        <v>96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 t="s">
        <v>81</v>
      </c>
      <c r="M117" s="14"/>
      <c r="N117" s="14" t="s">
        <v>176</v>
      </c>
      <c r="O117" s="14"/>
      <c r="P117" s="16">
        <f>24315</f>
        <v>24315</v>
      </c>
      <c r="Q117" s="16"/>
      <c r="R117" s="16"/>
      <c r="S117" s="16">
        <f>1800</f>
        <v>1800</v>
      </c>
      <c r="T117" s="16"/>
      <c r="U117" s="16"/>
      <c r="V117" s="16"/>
      <c r="W117" s="50">
        <f>22515</f>
        <v>22515</v>
      </c>
      <c r="X117" s="50"/>
    </row>
    <row r="118" spans="1:24" s="1" customFormat="1" ht="13.5" customHeight="1">
      <c r="A118" s="13" t="s">
        <v>100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 t="s">
        <v>81</v>
      </c>
      <c r="M118" s="14"/>
      <c r="N118" s="14" t="s">
        <v>177</v>
      </c>
      <c r="O118" s="14"/>
      <c r="P118" s="16">
        <f>30102.01</f>
        <v>30102.01</v>
      </c>
      <c r="Q118" s="16"/>
      <c r="R118" s="16"/>
      <c r="S118" s="16">
        <f>28285.13</f>
        <v>28285.13</v>
      </c>
      <c r="T118" s="16"/>
      <c r="U118" s="16"/>
      <c r="V118" s="16"/>
      <c r="W118" s="50">
        <f>1816.88</f>
        <v>1816.88</v>
      </c>
      <c r="X118" s="50"/>
    </row>
    <row r="119" spans="1:24" s="1" customFormat="1" ht="13.5" customHeight="1">
      <c r="A119" s="13" t="s">
        <v>178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 t="s">
        <v>81</v>
      </c>
      <c r="M119" s="14"/>
      <c r="N119" s="14" t="s">
        <v>179</v>
      </c>
      <c r="O119" s="14"/>
      <c r="P119" s="16">
        <f>43630639.09</f>
        <v>43630639.09</v>
      </c>
      <c r="Q119" s="16"/>
      <c r="R119" s="16"/>
      <c r="S119" s="16">
        <f>27419003.55</f>
        <v>27419003.55</v>
      </c>
      <c r="T119" s="16"/>
      <c r="U119" s="16"/>
      <c r="V119" s="16"/>
      <c r="W119" s="50">
        <f>16211635.54</f>
        <v>16211635.54</v>
      </c>
      <c r="X119" s="50"/>
    </row>
    <row r="120" spans="1:24" s="1" customFormat="1" ht="15" customHeight="1">
      <c r="A120" s="46" t="s">
        <v>180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7" t="s">
        <v>181</v>
      </c>
      <c r="M120" s="47"/>
      <c r="N120" s="47" t="s">
        <v>38</v>
      </c>
      <c r="O120" s="47"/>
      <c r="P120" s="48">
        <f>-5144922.42</f>
        <v>-5144922.42</v>
      </c>
      <c r="Q120" s="48"/>
      <c r="R120" s="48"/>
      <c r="S120" s="48">
        <f>1406058.99</f>
        <v>1406058.99</v>
      </c>
      <c r="T120" s="48"/>
      <c r="U120" s="48"/>
      <c r="V120" s="48"/>
      <c r="W120" s="49" t="s">
        <v>38</v>
      </c>
      <c r="X120" s="49"/>
    </row>
    <row r="121" spans="1:24" s="1" customFormat="1" ht="13.5" customHeight="1">
      <c r="A121" s="9" t="s">
        <v>18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s="1" customFormat="1" ht="13.5" customHeight="1">
      <c r="A122" s="42" t="s">
        <v>182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s="1" customFormat="1" ht="45.75" customHeight="1">
      <c r="A123" s="43" t="s">
        <v>24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 t="s">
        <v>25</v>
      </c>
      <c r="M123" s="43"/>
      <c r="N123" s="43" t="s">
        <v>183</v>
      </c>
      <c r="O123" s="43"/>
      <c r="P123" s="44" t="s">
        <v>27</v>
      </c>
      <c r="Q123" s="44"/>
      <c r="R123" s="44"/>
      <c r="S123" s="44" t="s">
        <v>28</v>
      </c>
      <c r="T123" s="44"/>
      <c r="U123" s="44"/>
      <c r="V123" s="44"/>
      <c r="W123" s="45" t="s">
        <v>29</v>
      </c>
      <c r="X123" s="45"/>
    </row>
    <row r="124" spans="1:24" s="1" customFormat="1" ht="12.75" customHeight="1">
      <c r="A124" s="39" t="s">
        <v>30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 t="s">
        <v>31</v>
      </c>
      <c r="M124" s="39"/>
      <c r="N124" s="39" t="s">
        <v>32</v>
      </c>
      <c r="O124" s="39"/>
      <c r="P124" s="40" t="s">
        <v>33</v>
      </c>
      <c r="Q124" s="40"/>
      <c r="R124" s="40"/>
      <c r="S124" s="40" t="s">
        <v>34</v>
      </c>
      <c r="T124" s="40"/>
      <c r="U124" s="40"/>
      <c r="V124" s="40"/>
      <c r="W124" s="41" t="s">
        <v>35</v>
      </c>
      <c r="X124" s="41"/>
    </row>
    <row r="125" spans="1:24" s="1" customFormat="1" ht="13.5" customHeight="1">
      <c r="A125" s="34" t="s">
        <v>184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5" t="s">
        <v>185</v>
      </c>
      <c r="M125" s="35"/>
      <c r="N125" s="35" t="s">
        <v>38</v>
      </c>
      <c r="O125" s="35"/>
      <c r="P125" s="36">
        <f>5144922.42</f>
        <v>5144922.42</v>
      </c>
      <c r="Q125" s="36"/>
      <c r="R125" s="36"/>
      <c r="S125" s="37">
        <f>-1406058.99</f>
        <v>-1406058.99</v>
      </c>
      <c r="T125" s="37"/>
      <c r="U125" s="37"/>
      <c r="V125" s="37"/>
      <c r="W125" s="38">
        <f>6550981.41</f>
        <v>6550981.41</v>
      </c>
      <c r="X125" s="38"/>
    </row>
    <row r="126" spans="1:24" s="1" customFormat="1" ht="13.5" customHeight="1">
      <c r="A126" s="32" t="s">
        <v>186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23" t="s">
        <v>18</v>
      </c>
      <c r="M126" s="23"/>
      <c r="N126" s="23" t="s">
        <v>18</v>
      </c>
      <c r="O126" s="23"/>
      <c r="P126" s="24" t="s">
        <v>18</v>
      </c>
      <c r="Q126" s="24"/>
      <c r="R126" s="24"/>
      <c r="S126" s="33" t="s">
        <v>18</v>
      </c>
      <c r="T126" s="33"/>
      <c r="U126" s="33"/>
      <c r="V126" s="33"/>
      <c r="W126" s="25" t="s">
        <v>18</v>
      </c>
      <c r="X126" s="25"/>
    </row>
    <row r="127" spans="1:24" s="1" customFormat="1" ht="13.5" customHeight="1">
      <c r="A127" s="26" t="s">
        <v>187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7" t="s">
        <v>188</v>
      </c>
      <c r="M127" s="27"/>
      <c r="N127" s="28" t="s">
        <v>38</v>
      </c>
      <c r="O127" s="28"/>
      <c r="P127" s="29" t="s">
        <v>61</v>
      </c>
      <c r="Q127" s="29"/>
      <c r="R127" s="29"/>
      <c r="S127" s="30" t="s">
        <v>61</v>
      </c>
      <c r="T127" s="30"/>
      <c r="U127" s="30"/>
      <c r="V127" s="30"/>
      <c r="W127" s="31" t="s">
        <v>61</v>
      </c>
      <c r="X127" s="31"/>
    </row>
    <row r="128" spans="1:24" s="1" customFormat="1" ht="13.5" customHeight="1">
      <c r="A128" s="13" t="s">
        <v>18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 t="s">
        <v>188</v>
      </c>
      <c r="M128" s="14"/>
      <c r="N128" s="14" t="s">
        <v>18</v>
      </c>
      <c r="O128" s="14"/>
      <c r="P128" s="19" t="s">
        <v>61</v>
      </c>
      <c r="Q128" s="19"/>
      <c r="R128" s="19"/>
      <c r="S128" s="20" t="s">
        <v>61</v>
      </c>
      <c r="T128" s="20"/>
      <c r="U128" s="20"/>
      <c r="V128" s="20"/>
      <c r="W128" s="21" t="s">
        <v>61</v>
      </c>
      <c r="X128" s="21"/>
    </row>
    <row r="129" spans="1:24" s="1" customFormat="1" ht="0.75" customHeight="1">
      <c r="A129" s="22" t="s">
        <v>18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s="1" customFormat="1" ht="13.5" customHeight="1">
      <c r="A130" s="13" t="s">
        <v>189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23" t="s">
        <v>190</v>
      </c>
      <c r="M130" s="23"/>
      <c r="N130" s="23" t="s">
        <v>38</v>
      </c>
      <c r="O130" s="23"/>
      <c r="P130" s="24" t="s">
        <v>61</v>
      </c>
      <c r="Q130" s="24"/>
      <c r="R130" s="24"/>
      <c r="S130" s="20" t="s">
        <v>61</v>
      </c>
      <c r="T130" s="20"/>
      <c r="U130" s="20"/>
      <c r="V130" s="20"/>
      <c r="W130" s="25" t="s">
        <v>61</v>
      </c>
      <c r="X130" s="25"/>
    </row>
    <row r="131" spans="1:24" s="1" customFormat="1" ht="13.5" customHeight="1">
      <c r="A131" s="13" t="s">
        <v>18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 t="s">
        <v>190</v>
      </c>
      <c r="M131" s="14"/>
      <c r="N131" s="14" t="s">
        <v>18</v>
      </c>
      <c r="O131" s="14"/>
      <c r="P131" s="19" t="s">
        <v>61</v>
      </c>
      <c r="Q131" s="19"/>
      <c r="R131" s="19"/>
      <c r="S131" s="20" t="s">
        <v>61</v>
      </c>
      <c r="T131" s="20"/>
      <c r="U131" s="20"/>
      <c r="V131" s="20"/>
      <c r="W131" s="21" t="s">
        <v>61</v>
      </c>
      <c r="X131" s="21"/>
    </row>
    <row r="132" spans="1:24" s="1" customFormat="1" ht="13.5" customHeight="1">
      <c r="A132" s="13" t="s">
        <v>191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 t="s">
        <v>192</v>
      </c>
      <c r="M132" s="14"/>
      <c r="N132" s="14" t="s">
        <v>193</v>
      </c>
      <c r="O132" s="14"/>
      <c r="P132" s="15">
        <f>5144922.42</f>
        <v>5144922.42</v>
      </c>
      <c r="Q132" s="15"/>
      <c r="R132" s="15"/>
      <c r="S132" s="16">
        <f>-1406058.99</f>
        <v>-1406058.99</v>
      </c>
      <c r="T132" s="16"/>
      <c r="U132" s="16"/>
      <c r="V132" s="16"/>
      <c r="W132" s="18">
        <f>6550981.41</f>
        <v>6550981.41</v>
      </c>
      <c r="X132" s="18"/>
    </row>
    <row r="133" spans="1:24" s="1" customFormat="1" ht="13.5" customHeight="1">
      <c r="A133" s="13" t="s">
        <v>194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 t="s">
        <v>195</v>
      </c>
      <c r="M133" s="14"/>
      <c r="N133" s="14" t="s">
        <v>196</v>
      </c>
      <c r="O133" s="14"/>
      <c r="P133" s="15">
        <f>-79617049.03</f>
        <v>-79617049.03</v>
      </c>
      <c r="Q133" s="15"/>
      <c r="R133" s="15"/>
      <c r="S133" s="16">
        <f>-54918406.09</f>
        <v>-54918406.09</v>
      </c>
      <c r="T133" s="16"/>
      <c r="U133" s="16"/>
      <c r="V133" s="16"/>
      <c r="W133" s="17" t="s">
        <v>38</v>
      </c>
      <c r="X133" s="17"/>
    </row>
    <row r="134" spans="1:24" s="1" customFormat="1" ht="13.5" customHeight="1">
      <c r="A134" s="13" t="s">
        <v>197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 t="s">
        <v>198</v>
      </c>
      <c r="M134" s="14"/>
      <c r="N134" s="14" t="s">
        <v>199</v>
      </c>
      <c r="O134" s="14"/>
      <c r="P134" s="15">
        <f>84761971.45</f>
        <v>84761971.45</v>
      </c>
      <c r="Q134" s="15"/>
      <c r="R134" s="15"/>
      <c r="S134" s="16">
        <f>53512347.1</f>
        <v>53512347.1</v>
      </c>
      <c r="T134" s="16"/>
      <c r="U134" s="16"/>
      <c r="V134" s="16"/>
      <c r="W134" s="17" t="s">
        <v>38</v>
      </c>
      <c r="X134" s="17"/>
    </row>
    <row r="135" spans="1:24" s="1" customFormat="1" ht="13.5" customHeight="1">
      <c r="A135" s="12" t="s">
        <v>18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s="1" customFormat="1" ht="13.5" customHeight="1">
      <c r="A136" s="9" t="s">
        <v>200</v>
      </c>
      <c r="B136" s="9"/>
      <c r="C136" s="9"/>
      <c r="D136" s="9"/>
      <c r="E136" s="9"/>
      <c r="F136" s="9"/>
      <c r="G136" s="9"/>
      <c r="H136" s="9"/>
      <c r="I136" s="11" t="s">
        <v>18</v>
      </c>
      <c r="J136" s="11"/>
      <c r="K136" s="11"/>
      <c r="L136" s="11"/>
      <c r="M136" s="11"/>
      <c r="N136" s="11" t="s">
        <v>201</v>
      </c>
      <c r="O136" s="11"/>
      <c r="P136" s="11"/>
      <c r="Q136" s="11"/>
      <c r="R136" s="9" t="s">
        <v>18</v>
      </c>
      <c r="S136" s="9"/>
      <c r="T136" s="9"/>
      <c r="U136" s="9"/>
      <c r="V136" s="9"/>
      <c r="W136" s="9"/>
      <c r="X136" s="9"/>
    </row>
    <row r="137" spans="1:24" s="1" customFormat="1" ht="13.5" customHeight="1">
      <c r="A137" s="9" t="s">
        <v>18</v>
      </c>
      <c r="B137" s="9"/>
      <c r="C137" s="9"/>
      <c r="D137" s="9"/>
      <c r="E137" s="9"/>
      <c r="F137" s="9"/>
      <c r="G137" s="9"/>
      <c r="H137" s="9"/>
      <c r="I137" s="5" t="s">
        <v>18</v>
      </c>
      <c r="J137" s="10" t="s">
        <v>202</v>
      </c>
      <c r="K137" s="10"/>
      <c r="L137" s="10"/>
      <c r="M137" s="5" t="s">
        <v>18</v>
      </c>
      <c r="N137" s="5" t="s">
        <v>18</v>
      </c>
      <c r="O137" s="10" t="s">
        <v>203</v>
      </c>
      <c r="P137" s="10"/>
      <c r="Q137" s="9" t="s">
        <v>18</v>
      </c>
      <c r="R137" s="9"/>
      <c r="S137" s="9"/>
      <c r="T137" s="9"/>
      <c r="U137" s="9"/>
      <c r="V137" s="9"/>
      <c r="W137" s="9"/>
      <c r="X137" s="9"/>
    </row>
    <row r="138" spans="1:24" s="1" customFormat="1" ht="7.5" customHeight="1">
      <c r="A138" s="9" t="s">
        <v>18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1" customFormat="1" ht="13.5" customHeight="1">
      <c r="A139" s="9" t="s">
        <v>204</v>
      </c>
      <c r="B139" s="9"/>
      <c r="C139" s="9"/>
      <c r="D139" s="9"/>
      <c r="E139" s="9"/>
      <c r="F139" s="9"/>
      <c r="G139" s="9"/>
      <c r="H139" s="9"/>
      <c r="I139" s="11" t="s">
        <v>18</v>
      </c>
      <c r="J139" s="11"/>
      <c r="K139" s="11"/>
      <c r="L139" s="11"/>
      <c r="M139" s="11"/>
      <c r="N139" s="11" t="s">
        <v>205</v>
      </c>
      <c r="O139" s="11"/>
      <c r="P139" s="11"/>
      <c r="Q139" s="11"/>
      <c r="R139" s="9" t="s">
        <v>18</v>
      </c>
      <c r="S139" s="9"/>
      <c r="T139" s="9"/>
      <c r="U139" s="9"/>
      <c r="V139" s="9"/>
      <c r="W139" s="9"/>
      <c r="X139" s="9"/>
    </row>
    <row r="140" spans="1:24" s="1" customFormat="1" ht="13.5" customHeight="1">
      <c r="A140" s="9" t="s">
        <v>18</v>
      </c>
      <c r="B140" s="9"/>
      <c r="C140" s="9"/>
      <c r="D140" s="9"/>
      <c r="E140" s="9"/>
      <c r="F140" s="9"/>
      <c r="G140" s="9"/>
      <c r="H140" s="9"/>
      <c r="I140" s="5" t="s">
        <v>18</v>
      </c>
      <c r="J140" s="10" t="s">
        <v>202</v>
      </c>
      <c r="K140" s="10"/>
      <c r="L140" s="10"/>
      <c r="M140" s="5" t="s">
        <v>18</v>
      </c>
      <c r="N140" s="5" t="s">
        <v>18</v>
      </c>
      <c r="O140" s="10" t="s">
        <v>203</v>
      </c>
      <c r="P140" s="10"/>
      <c r="Q140" s="9" t="s">
        <v>18</v>
      </c>
      <c r="R140" s="9"/>
      <c r="S140" s="9"/>
      <c r="T140" s="9"/>
      <c r="U140" s="9"/>
      <c r="V140" s="9"/>
      <c r="W140" s="9"/>
      <c r="X140" s="9"/>
    </row>
    <row r="141" spans="1:24" s="1" customFormat="1" ht="7.5" customHeight="1">
      <c r="A141" s="9" t="s">
        <v>18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s="1" customFormat="1" ht="13.5" customHeight="1">
      <c r="A142" s="9" t="s">
        <v>206</v>
      </c>
      <c r="B142" s="9"/>
      <c r="C142" s="11" t="s">
        <v>207</v>
      </c>
      <c r="D142" s="11"/>
      <c r="E142" s="11"/>
      <c r="F142" s="11"/>
      <c r="G142" s="11"/>
      <c r="H142" s="11"/>
      <c r="I142" s="11" t="s">
        <v>18</v>
      </c>
      <c r="J142" s="11"/>
      <c r="K142" s="11"/>
      <c r="L142" s="11"/>
      <c r="M142" s="11"/>
      <c r="N142" s="11" t="s">
        <v>208</v>
      </c>
      <c r="O142" s="11"/>
      <c r="P142" s="11"/>
      <c r="Q142" s="11"/>
      <c r="R142" s="9" t="s">
        <v>18</v>
      </c>
      <c r="S142" s="9"/>
      <c r="T142" s="9"/>
      <c r="U142" s="9"/>
      <c r="V142" s="9"/>
      <c r="W142" s="9"/>
      <c r="X142" s="9"/>
    </row>
    <row r="143" spans="1:24" s="1" customFormat="1" ht="13.5" customHeight="1">
      <c r="A143" s="9" t="s">
        <v>18</v>
      </c>
      <c r="B143" s="9"/>
      <c r="C143" s="5" t="s">
        <v>18</v>
      </c>
      <c r="D143" s="10" t="s">
        <v>209</v>
      </c>
      <c r="E143" s="10"/>
      <c r="F143" s="10"/>
      <c r="G143" s="10"/>
      <c r="H143" s="5" t="s">
        <v>18</v>
      </c>
      <c r="I143" s="5" t="s">
        <v>18</v>
      </c>
      <c r="J143" s="10" t="s">
        <v>202</v>
      </c>
      <c r="K143" s="10"/>
      <c r="L143" s="10"/>
      <c r="M143" s="5" t="s">
        <v>18</v>
      </c>
      <c r="N143" s="5" t="s">
        <v>18</v>
      </c>
      <c r="O143" s="10" t="s">
        <v>203</v>
      </c>
      <c r="P143" s="10"/>
      <c r="Q143" s="9" t="s">
        <v>18</v>
      </c>
      <c r="R143" s="9"/>
      <c r="S143" s="9"/>
      <c r="T143" s="9"/>
      <c r="U143" s="9"/>
      <c r="V143" s="9"/>
      <c r="W143" s="9"/>
      <c r="X143" s="9"/>
    </row>
    <row r="144" spans="1:24" s="1" customFormat="1" ht="15.75" customHeight="1">
      <c r="A144" s="9" t="s">
        <v>18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s="1" customFormat="1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9" t="s">
        <v>18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</sheetData>
  <sheetProtection/>
  <mergeCells count="773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X32"/>
    <mergeCell ref="A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X121"/>
    <mergeCell ref="A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K126"/>
    <mergeCell ref="L126:M126"/>
    <mergeCell ref="N126:O126"/>
    <mergeCell ref="P126:R126"/>
    <mergeCell ref="S126:V126"/>
    <mergeCell ref="W126:X126"/>
    <mergeCell ref="A127:K127"/>
    <mergeCell ref="L127:M127"/>
    <mergeCell ref="N127:O127"/>
    <mergeCell ref="P127:R127"/>
    <mergeCell ref="S127:V127"/>
    <mergeCell ref="W127:X127"/>
    <mergeCell ref="A128:K128"/>
    <mergeCell ref="L128:M128"/>
    <mergeCell ref="N128:O128"/>
    <mergeCell ref="P128:R128"/>
    <mergeCell ref="S128:V128"/>
    <mergeCell ref="W128:X128"/>
    <mergeCell ref="A129:X129"/>
    <mergeCell ref="A130:K130"/>
    <mergeCell ref="L130:M130"/>
    <mergeCell ref="N130:O130"/>
    <mergeCell ref="P130:R130"/>
    <mergeCell ref="S130:V130"/>
    <mergeCell ref="W130:X130"/>
    <mergeCell ref="A131:K131"/>
    <mergeCell ref="L131:M131"/>
    <mergeCell ref="N131:O131"/>
    <mergeCell ref="P131:R131"/>
    <mergeCell ref="S131:V131"/>
    <mergeCell ref="W131:X131"/>
    <mergeCell ref="A132:K132"/>
    <mergeCell ref="L132:M132"/>
    <mergeCell ref="N132:O132"/>
    <mergeCell ref="P132:R132"/>
    <mergeCell ref="S132:V132"/>
    <mergeCell ref="W132:X132"/>
    <mergeCell ref="A133:K133"/>
    <mergeCell ref="L133:M133"/>
    <mergeCell ref="N133:O133"/>
    <mergeCell ref="P133:R133"/>
    <mergeCell ref="S133:V133"/>
    <mergeCell ref="W133:X133"/>
    <mergeCell ref="A134:K134"/>
    <mergeCell ref="L134:M134"/>
    <mergeCell ref="N134:O134"/>
    <mergeCell ref="P134:R134"/>
    <mergeCell ref="S134:V134"/>
    <mergeCell ref="W134:X134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8:X138"/>
    <mergeCell ref="A139:H139"/>
    <mergeCell ref="I139:M139"/>
    <mergeCell ref="N139:Q139"/>
    <mergeCell ref="R139:X139"/>
    <mergeCell ref="A140:H140"/>
    <mergeCell ref="J140:L140"/>
    <mergeCell ref="O140:P140"/>
    <mergeCell ref="Q140:X140"/>
    <mergeCell ref="A141:X141"/>
    <mergeCell ref="A142:B142"/>
    <mergeCell ref="C142:H142"/>
    <mergeCell ref="I142:M142"/>
    <mergeCell ref="N142:Q142"/>
    <mergeCell ref="R142:X142"/>
    <mergeCell ref="A145:J145"/>
    <mergeCell ref="K145:X145"/>
    <mergeCell ref="A143:B143"/>
    <mergeCell ref="D143:G143"/>
    <mergeCell ref="J143:L143"/>
    <mergeCell ref="O143:P143"/>
    <mergeCell ref="Q143:X143"/>
    <mergeCell ref="A144:X144"/>
  </mergeCells>
  <printOptions/>
  <pageMargins left="0.2" right="0" top="0.17" bottom="0.16" header="0.17" footer="0.16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2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2014-05-28T05:23:47Z</cp:lastPrinted>
  <dcterms:created xsi:type="dcterms:W3CDTF">2014-05-28T05:22:42Z</dcterms:created>
  <dcterms:modified xsi:type="dcterms:W3CDTF">2014-05-28T05:24:02Z</dcterms:modified>
  <cp:category/>
  <cp:version/>
  <cp:contentType/>
  <cp:contentStatus/>
</cp:coreProperties>
</file>