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<sst xmlns="http://schemas.openxmlformats.org/spreadsheetml/2006/main" count="718" uniqueCount="242">
  <si>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</si>
  <si>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</si>
  <si>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</si>
  <si>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</si>
  <si>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</si>
  <si>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</si>
  <si>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</si>
  <si>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>МО с.п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</si>
  <si>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</si>
  <si>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</si>
  <si>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</si>
  <si>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</si>
  <si>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</si>
  <si>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с.п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</si>
  <si>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</si>
  <si>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</si>
  <si>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</si>
  <si>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</si>
  <si>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</si>
  <si>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</si>
  <si>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</si>
  <si>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</si>
  <si>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</si>
  <si>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</si>
  <si>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</si>
  <si>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</si>
  <si>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</si>
  <si>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</si>
  <si>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</si>
  <si>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</si>
  <si>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</si>
  <si>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</si>
  <si>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</si>
  <si>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</si>
  <si>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</si>
  <si>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</si>
  <si>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</si>
  <si>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</si>
  <si>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</si>
  <si>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</si>
  <si>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</si>
  <si>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</si>
  <si>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</si>
  <si>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</si>
  <si>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</si>
  <si>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</si>
  <si>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</si>
  <si>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</si>
  <si>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</si>
  <si>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</si>
  <si>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</si>
  <si>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</si>
  <si>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</si>
  <si>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</si>
  <si>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</si>
  <si>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</si>
  <si>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</si>
  <si>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</si>
  <si>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</si>
  <si>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</si>
  <si>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</si>
  <si>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</si>
  <si>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</si>
  <si>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</si>
  <si>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</si>
  <si>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</si>
  <si>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</si>
  <si>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</si>
  <si>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</si>
  <si>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650 11633050 10 0000 140</t>
  </si>
  <si>
    <t>Дотации бюджетам сельских поселений на выравнивание бюджетной обеспеченности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</si>
  <si>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</si>
  <si>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</si>
  <si>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</si>
  <si>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муниципальных районов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</si>
  <si>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</si>
  <si>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</si>
  <si>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</si>
  <si>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</si>
  <si>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</si>
  <si>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</si>
  <si>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</si>
  <si>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</si>
  <si>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</si>
  <si>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</si>
  <si>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</si>
  <si>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Доходы бюджетов сельских поселений от возврата бюджетными учреждениями остатков субсидий прошлых лет</t>
  </si>
  <si>
    <t>650 21805010 10 0000 150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</si>
  <si>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</si>
  <si>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</si>
  <si>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</si>
  <si>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</si>
  <si>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</si>
  <si>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</si>
  <si>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</si>
  <si>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</si>
  <si>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</si>
  <si>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</si>
  <si>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</si>
  <si>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</si>
  <si>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</si>
  <si>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</si>
  <si>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</si>
  <si>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</si>
  <si>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</si>
  <si>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</si>
  <si>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</si>
  <si>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</si>
  <si>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</si>
  <si>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</si>
  <si>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</si>
  <si>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</si>
  <si>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</si>
  <si>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</si>
  <si>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</si>
  <si>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</si>
  <si>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650 0104 4090002040 852</t>
  </si>
  <si>
    <t>291</t>
  </si>
  <si>
    <t>Иные выплаты текущего характера организациям</t>
  </si>
  <si>
    <t>650 0104 4090002040 853</t>
  </si>
  <si>
    <t>297</t>
  </si>
  <si>
    <t>650 0104 9500102040 244</t>
  </si>
  <si>
    <t>Иные выплаты текущего характера физическим лицам</t>
  </si>
  <si>
    <t>650 0111 4090000690 870</t>
  </si>
  <si>
    <t>296</t>
  </si>
  <si>
    <t>650 0113 4090000690 244</t>
  </si>
  <si>
    <t>650 0113 4090000690 851</t>
  </si>
  <si>
    <t>650 0113 4090000690 852</t>
  </si>
  <si>
    <t>650 0113 4090000690 853</t>
  </si>
  <si>
    <t>Другие экономические санкции</t>
  </si>
  <si>
    <t>295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</si>
  <si>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</si>
  <si>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</si>
  <si>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</si>
  <si>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</si>
  <si>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</si>
  <si>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</si>
  <si>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</si>
  <si>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</si>
  <si>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</si>
  <si>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</si>
  <si>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</si>
  <si>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</si>
  <si>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</si>
  <si>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материальных запасов для целей капитальных вложений</t>
  </si>
  <si>
    <t>347</t>
  </si>
  <si>
    <t>Прочие несоциальные выплаты персоналу в натуральной форме</t>
  </si>
  <si>
    <t>650 0113 4090002400 122</t>
  </si>
  <si>
    <t>214</t>
  </si>
  <si>
    <t>Социальные пособия и компенсации персоналу в денежной форме</t>
  </si>
  <si>
    <t>266</t>
  </si>
  <si>
    <t>650 0113 4090002400 129</t>
  </si>
  <si>
    <t>Транспортные услуги</t>
  </si>
  <si>
    <t>650 0203 4090000690 244</t>
  </si>
  <si>
    <t>222</t>
  </si>
  <si>
    <t>650 0203 4090051180 121</t>
  </si>
  <si>
    <t>650 0203 4090051180 129</t>
  </si>
  <si>
    <t>650 0304 4090059300 121</t>
  </si>
  <si>
    <t>650 0304 4090059300 129</t>
  </si>
  <si>
    <t>650 0309 4090000690 244</t>
  </si>
  <si>
    <t>650 0309 4090089155 244</t>
  </si>
  <si>
    <t>650 0309 9300100690 244</t>
  </si>
  <si>
    <t>650 0309 9300300690 244</t>
  </si>
  <si>
    <t>650 0309 9300489134 244</t>
  </si>
  <si>
    <t>650 0309 9300500690 244</t>
  </si>
  <si>
    <t>650 0309 9300600690 244</t>
  </si>
  <si>
    <t>650 0309 9300700690 244</t>
  </si>
  <si>
    <t>650 0314 9200100690 244</t>
  </si>
  <si>
    <t>650 0314 9400100690 244</t>
  </si>
  <si>
    <t>Прочие несоциальные выплаты персоналу в денежной форме</t>
  </si>
  <si>
    <t>650 0314 9400182300 123</t>
  </si>
  <si>
    <t>212</t>
  </si>
  <si>
    <t>650 0314 94001S2300 123</t>
  </si>
  <si>
    <t>650 0409 4090020641 244</t>
  </si>
  <si>
    <t>650 0409 4090089129 244</t>
  </si>
  <si>
    <t>650 0410 4090000790 244</t>
  </si>
  <si>
    <t>650 0503 4090020811 244</t>
  </si>
  <si>
    <t>650 0503 4090020829 244</t>
  </si>
  <si>
    <t>650 0503 4090089010 244</t>
  </si>
  <si>
    <t>650 0605 4090084290 121</t>
  </si>
  <si>
    <t>650 0605 4090084290 129</t>
  </si>
  <si>
    <t>650 0707 4090020611 244</t>
  </si>
  <si>
    <t>650 0801 4090000590 111</t>
  </si>
  <si>
    <t>650 0801 4090000590 112</t>
  </si>
  <si>
    <t>650 0801 4090000590 119</t>
  </si>
  <si>
    <t>650 0801 4090000590 244</t>
  </si>
  <si>
    <t>Увеличение стоимости строительных материалов</t>
  </si>
  <si>
    <t>344</t>
  </si>
  <si>
    <t>Пенсии, пособия, выплачиваемые работодателями, нанимателями бывшим работникам</t>
  </si>
  <si>
    <t>650 0801 4090000590 321</t>
  </si>
  <si>
    <t>264</t>
  </si>
  <si>
    <t>650 0801 4090000590 851</t>
  </si>
  <si>
    <t>650 0801 4090000590 853</t>
  </si>
  <si>
    <t>650 0801 4090089102 244</t>
  </si>
  <si>
    <t>650 0801 4090089140 244</t>
  </si>
  <si>
    <t>650 0801 9300200690 244</t>
  </si>
  <si>
    <t>650 1001 4090071601 312</t>
  </si>
  <si>
    <t>Пособия по социальной помощи населению в денежной форме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</si>
  <si>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</si>
  <si>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</si>
  <si>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</si>
  <si>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</si>
  <si>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</si>
  <si>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</si>
  <si>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</si>
  <si>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650 1101 4090089179 244</t>
  </si>
  <si>
    <t>650 1101 4090089313 244</t>
  </si>
  <si>
    <t>650 1101 9300200690 244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</si>
  <si>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</si>
  <si>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</si>
  <si>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</si>
  <si>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</si>
  <si>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</si>
  <si>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</si>
  <si>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</si>
  <si>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</si>
  <si>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</si>
  <si>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</si>
  <si>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</si>
  <si>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</si>
  <si>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</si>
  <si>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</si>
  <si>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</si>
  <si>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</si>
  <si>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</si>
  <si>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</si>
  <si>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</si>
  <si>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</si>
  <si>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</si>
  <si>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Романов И. В.</t>
  </si>
  <si>
    <t>(подпись)</t>
  </si>
  <si>
    <t>(расшифровка подписи)</t>
  </si>
  <si>
    <t>Главный бухгалтер</t>
  </si>
  <si>
    <t>Кузнецова Р. Р.</t>
  </si>
  <si>
    <t>Исполнитель:</t>
  </si>
  <si>
    <t>Главный специалист</t>
  </si>
  <si>
    <t>Григорьева Т. А.</t>
  </si>
  <si>
    <t>(должность)</t>
  </si>
  <si>
    <t xml:space="preserve">   2 июля 2019 г.   </t>
  </si>
  <si>
    <t>650 01050000 00 0000 000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</si>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</sst>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5" fillId="34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4" borderId="24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tabSelected="1" zoomScalePageLayoutView="0" workbookViewId="0" topLeftCell="A153">
      <selection activeCell="A148" sqref="A148:K14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22.14062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2.28125" style="1" customWidth="1"/>
    <col min="19" max="20" width="2.7109375" style="1" customWidth="1"/>
    <col min="21" max="21" width="9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140625" style="1" customWidth="1"/>
    <col min="27" max="27" width="1.7109375" style="1" customWidth="1"/>
    <col min="28" max="28" width="3.7109375" style="1" customWidth="1"/>
    <col min="29" max="29" width="11.7109375" style="1" customWidth="1"/>
  </cols>
  <sheetData>
    <row r="1" spans="1:29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2" t="s">
        <v>1</v>
      </c>
    </row>
    <row r="2" spans="1:29" s="1" customFormat="1" ht="13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" t="s">
        <v>3</v>
      </c>
    </row>
    <row r="3" spans="1:29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4" t="s">
        <v>5</v>
      </c>
      <c r="AA3" s="64"/>
      <c r="AB3" s="64"/>
      <c r="AC3" s="4">
        <v>43647</v>
      </c>
    </row>
    <row r="4" spans="1:29" s="1" customFormat="1" ht="13.5" customHeight="1">
      <c r="A4" s="8" t="s">
        <v>6</v>
      </c>
      <c r="B4" s="8"/>
      <c r="C4" s="8"/>
      <c r="D4" s="8"/>
      <c r="E4" s="8"/>
      <c r="F4" s="63" t="s">
        <v>7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8</v>
      </c>
      <c r="Z4" s="64"/>
      <c r="AA4" s="64"/>
      <c r="AB4" s="64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 t="s">
        <v>9</v>
      </c>
      <c r="Z5" s="64"/>
      <c r="AA5" s="64"/>
      <c r="AB5" s="64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63" t="s">
        <v>13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 t="s">
        <v>14</v>
      </c>
      <c r="Z6" s="64"/>
      <c r="AA6" s="64"/>
      <c r="AB6" s="64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18</v>
      </c>
    </row>
    <row r="8" spans="1:29" s="1" customFormat="1" ht="13.5" customHeight="1">
      <c r="A8" s="8" t="s">
        <v>19</v>
      </c>
      <c r="B8" s="8"/>
      <c r="C8" s="8"/>
      <c r="D8" s="8"/>
      <c r="E8" s="8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64" t="s">
        <v>21</v>
      </c>
      <c r="Y8" s="64"/>
      <c r="Z8" s="64"/>
      <c r="AA8" s="64"/>
      <c r="AB8" s="64"/>
      <c r="AC8" s="7" t="s">
        <v>22</v>
      </c>
    </row>
    <row r="9" spans="1:29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25</v>
      </c>
      <c r="N10" s="44"/>
      <c r="O10" s="44"/>
      <c r="P10" s="44" t="s">
        <v>26</v>
      </c>
      <c r="Q10" s="44"/>
      <c r="R10" s="44"/>
      <c r="S10" s="45" t="s">
        <v>27</v>
      </c>
      <c r="T10" s="45"/>
      <c r="U10" s="45"/>
      <c r="V10" s="45" t="s">
        <v>28</v>
      </c>
      <c r="W10" s="45"/>
      <c r="X10" s="45"/>
      <c r="Y10" s="45"/>
      <c r="Z10" s="45"/>
      <c r="AA10" s="46" t="s">
        <v>29</v>
      </c>
      <c r="AB10" s="46"/>
      <c r="AC10" s="46"/>
    </row>
    <row r="11" spans="1:29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31</v>
      </c>
      <c r="N11" s="40"/>
      <c r="O11" s="40"/>
      <c r="P11" s="40" t="s">
        <v>32</v>
      </c>
      <c r="Q11" s="40"/>
      <c r="R11" s="40"/>
      <c r="S11" s="41" t="s">
        <v>33</v>
      </c>
      <c r="T11" s="41"/>
      <c r="U11" s="41"/>
      <c r="V11" s="41" t="s">
        <v>34</v>
      </c>
      <c r="W11" s="41"/>
      <c r="X11" s="41"/>
      <c r="Y11" s="41"/>
      <c r="Z11" s="41"/>
      <c r="AA11" s="42" t="s">
        <v>35</v>
      </c>
      <c r="AB11" s="42"/>
      <c r="AC11" s="42"/>
    </row>
    <row r="12" spans="1:29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37</v>
      </c>
      <c r="N12" s="35"/>
      <c r="O12" s="35"/>
      <c r="P12" s="35" t="s">
        <v>38</v>
      </c>
      <c r="Q12" s="35"/>
      <c r="R12" s="35"/>
      <c r="S12" s="37">
        <f>53134791.09</f>
        <v>53134791.09</v>
      </c>
      <c r="T12" s="37"/>
      <c r="U12" s="37"/>
      <c r="V12" s="37">
        <f>26432500.66</f>
        <v>26432500.66</v>
      </c>
      <c r="W12" s="37"/>
      <c r="X12" s="37"/>
      <c r="Y12" s="37"/>
      <c r="Z12" s="37"/>
      <c r="AA12" s="56">
        <f>26702290.43</f>
        <v>26702290.43</v>
      </c>
      <c r="AB12" s="56"/>
      <c r="AC12" s="56"/>
    </row>
    <row r="13" spans="1:29" s="1" customFormat="1" ht="37.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37</v>
      </c>
      <c r="N13" s="28"/>
      <c r="O13" s="28"/>
      <c r="P13" s="28" t="s">
        <v>40</v>
      </c>
      <c r="Q13" s="28"/>
      <c r="R13" s="28"/>
      <c r="S13" s="58">
        <f>594066</f>
        <v>594066</v>
      </c>
      <c r="T13" s="58"/>
      <c r="U13" s="58"/>
      <c r="V13" s="60">
        <f>473671.63</f>
        <v>473671.63</v>
      </c>
      <c r="W13" s="60"/>
      <c r="X13" s="60"/>
      <c r="Y13" s="60"/>
      <c r="Z13" s="60"/>
      <c r="AA13" s="59">
        <f>120394.37</f>
        <v>120394.37</v>
      </c>
      <c r="AB13" s="59"/>
      <c r="AC13" s="59"/>
    </row>
    <row r="14" spans="1:29" s="1" customFormat="1" ht="49.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37</v>
      </c>
      <c r="N14" s="28"/>
      <c r="O14" s="28"/>
      <c r="P14" s="28" t="s">
        <v>42</v>
      </c>
      <c r="Q14" s="28"/>
      <c r="R14" s="28"/>
      <c r="S14" s="58">
        <f>18002</f>
        <v>18002</v>
      </c>
      <c r="T14" s="58"/>
      <c r="U14" s="58"/>
      <c r="V14" s="60">
        <f>3593.79</f>
        <v>3593.79</v>
      </c>
      <c r="W14" s="60"/>
      <c r="X14" s="60"/>
      <c r="Y14" s="60"/>
      <c r="Z14" s="60"/>
      <c r="AA14" s="59">
        <f>14408.21</f>
        <v>14408.21</v>
      </c>
      <c r="AB14" s="59"/>
      <c r="AC14" s="59"/>
    </row>
    <row r="15" spans="1:29" s="1" customFormat="1" ht="39.7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37</v>
      </c>
      <c r="N15" s="28"/>
      <c r="O15" s="28"/>
      <c r="P15" s="28" t="s">
        <v>44</v>
      </c>
      <c r="Q15" s="28"/>
      <c r="R15" s="28"/>
      <c r="S15" s="58">
        <f>1188132</f>
        <v>1188132</v>
      </c>
      <c r="T15" s="58"/>
      <c r="U15" s="58"/>
      <c r="V15" s="60">
        <f>656384.57</f>
        <v>656384.57</v>
      </c>
      <c r="W15" s="60"/>
      <c r="X15" s="60"/>
      <c r="Y15" s="60"/>
      <c r="Z15" s="60"/>
      <c r="AA15" s="59">
        <f>531747.43</f>
        <v>531747.43</v>
      </c>
      <c r="AB15" s="59"/>
      <c r="AC15" s="59"/>
    </row>
    <row r="16" spans="1:29" s="1" customFormat="1" ht="39.7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37</v>
      </c>
      <c r="N16" s="28"/>
      <c r="O16" s="28"/>
      <c r="P16" s="28" t="s">
        <v>46</v>
      </c>
      <c r="Q16" s="28"/>
      <c r="R16" s="28"/>
      <c r="S16" s="30" t="s">
        <v>47</v>
      </c>
      <c r="T16" s="30"/>
      <c r="U16" s="30"/>
      <c r="V16" s="60">
        <f>-90223.8</f>
        <v>-90223.8</v>
      </c>
      <c r="W16" s="60"/>
      <c r="X16" s="60"/>
      <c r="Y16" s="60"/>
      <c r="Z16" s="60"/>
      <c r="AA16" s="61" t="s">
        <v>47</v>
      </c>
      <c r="AB16" s="61"/>
      <c r="AC16" s="61"/>
    </row>
    <row r="17" spans="1:29" s="1" customFormat="1" ht="40.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37</v>
      </c>
      <c r="N17" s="28"/>
      <c r="O17" s="28"/>
      <c r="P17" s="28" t="s">
        <v>49</v>
      </c>
      <c r="Q17" s="28"/>
      <c r="R17" s="28"/>
      <c r="S17" s="58">
        <f>2282100</f>
        <v>2282100</v>
      </c>
      <c r="T17" s="58"/>
      <c r="U17" s="58"/>
      <c r="V17" s="60">
        <f>1232277.47</f>
        <v>1232277.47</v>
      </c>
      <c r="W17" s="60"/>
      <c r="X17" s="60"/>
      <c r="Y17" s="60"/>
      <c r="Z17" s="60"/>
      <c r="AA17" s="59">
        <f>1049822.53</f>
        <v>1049822.53</v>
      </c>
      <c r="AB17" s="59"/>
      <c r="AC17" s="59"/>
    </row>
    <row r="18" spans="1:29" s="1" customFormat="1" ht="58.5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37</v>
      </c>
      <c r="N18" s="28"/>
      <c r="O18" s="28"/>
      <c r="P18" s="28" t="s">
        <v>51</v>
      </c>
      <c r="Q18" s="28"/>
      <c r="R18" s="28"/>
      <c r="S18" s="58">
        <f>10000</f>
        <v>10000</v>
      </c>
      <c r="T18" s="58"/>
      <c r="U18" s="58"/>
      <c r="V18" s="62" t="s">
        <v>47</v>
      </c>
      <c r="W18" s="62"/>
      <c r="X18" s="62"/>
      <c r="Y18" s="62"/>
      <c r="Z18" s="62"/>
      <c r="AA18" s="59">
        <f>10000</f>
        <v>10000</v>
      </c>
      <c r="AB18" s="59"/>
      <c r="AC18" s="59"/>
    </row>
    <row r="19" spans="1:29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37</v>
      </c>
      <c r="N19" s="28"/>
      <c r="O19" s="28"/>
      <c r="P19" s="28" t="s">
        <v>53</v>
      </c>
      <c r="Q19" s="28"/>
      <c r="R19" s="28"/>
      <c r="S19" s="58">
        <f>5000</f>
        <v>5000</v>
      </c>
      <c r="T19" s="58"/>
      <c r="U19" s="58"/>
      <c r="V19" s="60">
        <f>111.02</f>
        <v>111.02</v>
      </c>
      <c r="W19" s="60"/>
      <c r="X19" s="60"/>
      <c r="Y19" s="60"/>
      <c r="Z19" s="60"/>
      <c r="AA19" s="59">
        <f>4888.98</f>
        <v>4888.98</v>
      </c>
      <c r="AB19" s="59"/>
      <c r="AC19" s="59"/>
    </row>
    <row r="20" spans="1:29" s="1" customFormat="1" ht="24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37</v>
      </c>
      <c r="N20" s="28"/>
      <c r="O20" s="28"/>
      <c r="P20" s="28" t="s">
        <v>55</v>
      </c>
      <c r="Q20" s="28"/>
      <c r="R20" s="28"/>
      <c r="S20" s="58">
        <f>531400</f>
        <v>531400</v>
      </c>
      <c r="T20" s="58"/>
      <c r="U20" s="58"/>
      <c r="V20" s="60">
        <f>74977.74</f>
        <v>74977.74</v>
      </c>
      <c r="W20" s="60"/>
      <c r="X20" s="60"/>
      <c r="Y20" s="60"/>
      <c r="Z20" s="60"/>
      <c r="AA20" s="59">
        <f>456422.26</f>
        <v>456422.26</v>
      </c>
      <c r="AB20" s="59"/>
      <c r="AC20" s="59"/>
    </row>
    <row r="21" spans="1:29" s="1" customFormat="1" ht="24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37</v>
      </c>
      <c r="N21" s="28"/>
      <c r="O21" s="28"/>
      <c r="P21" s="28" t="s">
        <v>57</v>
      </c>
      <c r="Q21" s="28"/>
      <c r="R21" s="28"/>
      <c r="S21" s="58">
        <f>90900</f>
        <v>90900</v>
      </c>
      <c r="T21" s="58"/>
      <c r="U21" s="58"/>
      <c r="V21" s="60">
        <f>29869</f>
        <v>29869</v>
      </c>
      <c r="W21" s="60"/>
      <c r="X21" s="60"/>
      <c r="Y21" s="60"/>
      <c r="Z21" s="60"/>
      <c r="AA21" s="59">
        <f>61031</f>
        <v>61031</v>
      </c>
      <c r="AB21" s="59"/>
      <c r="AC21" s="59"/>
    </row>
    <row r="22" spans="1:29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37</v>
      </c>
      <c r="N22" s="28"/>
      <c r="O22" s="28"/>
      <c r="P22" s="28" t="s">
        <v>59</v>
      </c>
      <c r="Q22" s="28"/>
      <c r="R22" s="28"/>
      <c r="S22" s="58">
        <f>29200</f>
        <v>29200</v>
      </c>
      <c r="T22" s="58"/>
      <c r="U22" s="58"/>
      <c r="V22" s="60">
        <f>2923.64</f>
        <v>2923.64</v>
      </c>
      <c r="W22" s="60"/>
      <c r="X22" s="60"/>
      <c r="Y22" s="60"/>
      <c r="Z22" s="60"/>
      <c r="AA22" s="59">
        <f>26276.36</f>
        <v>26276.36</v>
      </c>
      <c r="AB22" s="59"/>
      <c r="AC22" s="59"/>
    </row>
    <row r="23" spans="1:29" s="1" customFormat="1" ht="39.75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37</v>
      </c>
      <c r="N23" s="28"/>
      <c r="O23" s="28"/>
      <c r="P23" s="28" t="s">
        <v>61</v>
      </c>
      <c r="Q23" s="28"/>
      <c r="R23" s="28"/>
      <c r="S23" s="58">
        <f>20000</f>
        <v>20000</v>
      </c>
      <c r="T23" s="58"/>
      <c r="U23" s="58"/>
      <c r="V23" s="60">
        <f>2320</f>
        <v>2320</v>
      </c>
      <c r="W23" s="60"/>
      <c r="X23" s="60"/>
      <c r="Y23" s="60"/>
      <c r="Z23" s="60"/>
      <c r="AA23" s="59">
        <f>17680</f>
        <v>17680</v>
      </c>
      <c r="AB23" s="59"/>
      <c r="AC23" s="59"/>
    </row>
    <row r="24" spans="1:29" s="1" customFormat="1" ht="33.7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37</v>
      </c>
      <c r="N24" s="28"/>
      <c r="O24" s="28"/>
      <c r="P24" s="28" t="s">
        <v>63</v>
      </c>
      <c r="Q24" s="28"/>
      <c r="R24" s="28"/>
      <c r="S24" s="58">
        <f>138400</f>
        <v>138400</v>
      </c>
      <c r="T24" s="58"/>
      <c r="U24" s="58"/>
      <c r="V24" s="60">
        <f>41675</f>
        <v>41675</v>
      </c>
      <c r="W24" s="60"/>
      <c r="X24" s="60"/>
      <c r="Y24" s="60"/>
      <c r="Z24" s="60"/>
      <c r="AA24" s="59">
        <f>96725</f>
        <v>96725</v>
      </c>
      <c r="AB24" s="59"/>
      <c r="AC24" s="59"/>
    </row>
    <row r="25" spans="1:29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37</v>
      </c>
      <c r="N25" s="28"/>
      <c r="O25" s="28"/>
      <c r="P25" s="28" t="s">
        <v>65</v>
      </c>
      <c r="Q25" s="28"/>
      <c r="R25" s="28"/>
      <c r="S25" s="58">
        <f>63600</f>
        <v>63600</v>
      </c>
      <c r="T25" s="58"/>
      <c r="U25" s="58"/>
      <c r="V25" s="60">
        <f>31100</f>
        <v>31100</v>
      </c>
      <c r="W25" s="60"/>
      <c r="X25" s="60"/>
      <c r="Y25" s="60"/>
      <c r="Z25" s="60"/>
      <c r="AA25" s="59">
        <f>32500</f>
        <v>32500</v>
      </c>
      <c r="AB25" s="59"/>
      <c r="AC25" s="59"/>
    </row>
    <row r="26" spans="1:29" s="1" customFormat="1" ht="13.5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37</v>
      </c>
      <c r="N26" s="28"/>
      <c r="O26" s="28"/>
      <c r="P26" s="28" t="s">
        <v>67</v>
      </c>
      <c r="Q26" s="28"/>
      <c r="R26" s="28"/>
      <c r="S26" s="58">
        <f>61500</f>
        <v>61500</v>
      </c>
      <c r="T26" s="58"/>
      <c r="U26" s="58"/>
      <c r="V26" s="60">
        <f>286087.86</f>
        <v>286087.86</v>
      </c>
      <c r="W26" s="60"/>
      <c r="X26" s="60"/>
      <c r="Y26" s="60"/>
      <c r="Z26" s="60"/>
      <c r="AA26" s="61" t="s">
        <v>47</v>
      </c>
      <c r="AB26" s="61"/>
      <c r="AC26" s="61"/>
    </row>
    <row r="27" spans="1:29" s="1" customFormat="1" ht="38.2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37</v>
      </c>
      <c r="N27" s="28"/>
      <c r="O27" s="28"/>
      <c r="P27" s="28" t="s">
        <v>69</v>
      </c>
      <c r="Q27" s="28"/>
      <c r="R27" s="28"/>
      <c r="S27" s="30" t="s">
        <v>47</v>
      </c>
      <c r="T27" s="30"/>
      <c r="U27" s="30"/>
      <c r="V27" s="60">
        <f>918.65</f>
        <v>918.65</v>
      </c>
      <c r="W27" s="60"/>
      <c r="X27" s="60"/>
      <c r="Y27" s="60"/>
      <c r="Z27" s="60"/>
      <c r="AA27" s="61" t="s">
        <v>47</v>
      </c>
      <c r="AB27" s="61"/>
      <c r="AC27" s="61"/>
    </row>
    <row r="28" spans="1:29" s="1" customFormat="1" ht="15.75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37</v>
      </c>
      <c r="N28" s="28"/>
      <c r="O28" s="28"/>
      <c r="P28" s="28" t="s">
        <v>71</v>
      </c>
      <c r="Q28" s="28"/>
      <c r="R28" s="28"/>
      <c r="S28" s="58">
        <f>29601600</f>
        <v>29601600</v>
      </c>
      <c r="T28" s="58"/>
      <c r="U28" s="58"/>
      <c r="V28" s="58">
        <f>14800778</f>
        <v>14800778</v>
      </c>
      <c r="W28" s="58"/>
      <c r="X28" s="58"/>
      <c r="Y28" s="58"/>
      <c r="Z28" s="58"/>
      <c r="AA28" s="59">
        <f>14800822</f>
        <v>14800822</v>
      </c>
      <c r="AB28" s="59"/>
      <c r="AC28" s="59"/>
    </row>
    <row r="29" spans="1:29" s="1" customFormat="1" ht="24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37</v>
      </c>
      <c r="N29" s="28"/>
      <c r="O29" s="28"/>
      <c r="P29" s="28" t="s">
        <v>73</v>
      </c>
      <c r="Q29" s="28"/>
      <c r="R29" s="28"/>
      <c r="S29" s="58">
        <f>15901446.94</f>
        <v>15901446.94</v>
      </c>
      <c r="T29" s="58"/>
      <c r="U29" s="58"/>
      <c r="V29" s="58">
        <f>7977948</f>
        <v>7977948</v>
      </c>
      <c r="W29" s="58"/>
      <c r="X29" s="58"/>
      <c r="Y29" s="58"/>
      <c r="Z29" s="58"/>
      <c r="AA29" s="59">
        <f>7923498.94</f>
        <v>7923498.94</v>
      </c>
      <c r="AB29" s="59"/>
      <c r="AC29" s="59"/>
    </row>
    <row r="30" spans="1:29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37</v>
      </c>
      <c r="N30" s="28"/>
      <c r="O30" s="28"/>
      <c r="P30" s="28" t="s">
        <v>75</v>
      </c>
      <c r="Q30" s="28"/>
      <c r="R30" s="28"/>
      <c r="S30" s="58">
        <f>1090.48</f>
        <v>1090.48</v>
      </c>
      <c r="T30" s="58"/>
      <c r="U30" s="58"/>
      <c r="V30" s="30" t="s">
        <v>47</v>
      </c>
      <c r="W30" s="30"/>
      <c r="X30" s="30"/>
      <c r="Y30" s="30"/>
      <c r="Z30" s="30"/>
      <c r="AA30" s="59">
        <f>1090.48</f>
        <v>1090.48</v>
      </c>
      <c r="AB30" s="59"/>
      <c r="AC30" s="59"/>
    </row>
    <row r="31" spans="1:29" s="1" customFormat="1" ht="24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37</v>
      </c>
      <c r="N31" s="28"/>
      <c r="O31" s="28"/>
      <c r="P31" s="28" t="s">
        <v>77</v>
      </c>
      <c r="Q31" s="28"/>
      <c r="R31" s="28"/>
      <c r="S31" s="58">
        <f>217800</f>
        <v>217800</v>
      </c>
      <c r="T31" s="58"/>
      <c r="U31" s="58"/>
      <c r="V31" s="58">
        <f>101349.97</f>
        <v>101349.97</v>
      </c>
      <c r="W31" s="58"/>
      <c r="X31" s="58"/>
      <c r="Y31" s="58"/>
      <c r="Z31" s="58"/>
      <c r="AA31" s="59">
        <f>116450.03</f>
        <v>116450.03</v>
      </c>
      <c r="AB31" s="59"/>
      <c r="AC31" s="59"/>
    </row>
    <row r="32" spans="1:29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37</v>
      </c>
      <c r="N32" s="28"/>
      <c r="O32" s="28"/>
      <c r="P32" s="28" t="s">
        <v>79</v>
      </c>
      <c r="Q32" s="28"/>
      <c r="R32" s="28"/>
      <c r="S32" s="58">
        <f>32061.56</f>
        <v>32061.56</v>
      </c>
      <c r="T32" s="58"/>
      <c r="U32" s="58"/>
      <c r="V32" s="58">
        <f>16030.8</f>
        <v>16030.8</v>
      </c>
      <c r="W32" s="58"/>
      <c r="X32" s="58"/>
      <c r="Y32" s="58"/>
      <c r="Z32" s="58"/>
      <c r="AA32" s="59">
        <f>16030.76</f>
        <v>16030.76</v>
      </c>
      <c r="AB32" s="59"/>
      <c r="AC32" s="59"/>
    </row>
    <row r="33" spans="1:29" s="1" customFormat="1" ht="33.7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 t="s">
        <v>37</v>
      </c>
      <c r="N33" s="28"/>
      <c r="O33" s="28"/>
      <c r="P33" s="28" t="s">
        <v>81</v>
      </c>
      <c r="Q33" s="28"/>
      <c r="R33" s="28"/>
      <c r="S33" s="58">
        <f>81385.02</f>
        <v>81385.02</v>
      </c>
      <c r="T33" s="58"/>
      <c r="U33" s="58"/>
      <c r="V33" s="58">
        <f>40692</f>
        <v>40692</v>
      </c>
      <c r="W33" s="58"/>
      <c r="X33" s="58"/>
      <c r="Y33" s="58"/>
      <c r="Z33" s="58"/>
      <c r="AA33" s="59">
        <f>40693.02</f>
        <v>40693.02</v>
      </c>
      <c r="AB33" s="59"/>
      <c r="AC33" s="59"/>
    </row>
    <row r="34" spans="1:29" s="1" customFormat="1" ht="16.5" customHeight="1">
      <c r="A34" s="26" t="s">
        <v>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 t="s">
        <v>37</v>
      </c>
      <c r="N34" s="28"/>
      <c r="O34" s="28"/>
      <c r="P34" s="28" t="s">
        <v>83</v>
      </c>
      <c r="Q34" s="28"/>
      <c r="R34" s="28"/>
      <c r="S34" s="58">
        <f>1715068.46</f>
        <v>1715068.46</v>
      </c>
      <c r="T34" s="58"/>
      <c r="U34" s="58"/>
      <c r="V34" s="58">
        <f>461563.4</f>
        <v>461563.4</v>
      </c>
      <c r="W34" s="58"/>
      <c r="X34" s="58"/>
      <c r="Y34" s="58"/>
      <c r="Z34" s="58"/>
      <c r="AA34" s="59">
        <f>1253505.06</f>
        <v>1253505.06</v>
      </c>
      <c r="AB34" s="59"/>
      <c r="AC34" s="59"/>
    </row>
    <row r="35" spans="1:29" s="1" customFormat="1" ht="13.5" customHeight="1">
      <c r="A35" s="26" t="s">
        <v>84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8" t="s">
        <v>37</v>
      </c>
      <c r="N35" s="28"/>
      <c r="O35" s="28"/>
      <c r="P35" s="28" t="s">
        <v>85</v>
      </c>
      <c r="Q35" s="28"/>
      <c r="R35" s="28"/>
      <c r="S35" s="58">
        <f>200000</f>
        <v>200000</v>
      </c>
      <c r="T35" s="58"/>
      <c r="U35" s="58"/>
      <c r="V35" s="58">
        <f>200000</f>
        <v>200000</v>
      </c>
      <c r="W35" s="58"/>
      <c r="X35" s="58"/>
      <c r="Y35" s="58"/>
      <c r="Z35" s="58"/>
      <c r="AA35" s="59">
        <f>0</f>
        <v>0</v>
      </c>
      <c r="AB35" s="59"/>
      <c r="AC35" s="59"/>
    </row>
    <row r="36" spans="1:29" s="1" customFormat="1" ht="24" customHeight="1">
      <c r="A36" s="26" t="s">
        <v>86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 t="s">
        <v>37</v>
      </c>
      <c r="N36" s="28"/>
      <c r="O36" s="28"/>
      <c r="P36" s="28" t="s">
        <v>87</v>
      </c>
      <c r="Q36" s="28"/>
      <c r="R36" s="28"/>
      <c r="S36" s="58">
        <f>263586.71</f>
        <v>263586.71</v>
      </c>
      <c r="T36" s="58"/>
      <c r="U36" s="58"/>
      <c r="V36" s="58">
        <f>0</f>
        <v>0</v>
      </c>
      <c r="W36" s="58"/>
      <c r="X36" s="58"/>
      <c r="Y36" s="58"/>
      <c r="Z36" s="58"/>
      <c r="AA36" s="59">
        <f>263586.71</f>
        <v>263586.71</v>
      </c>
      <c r="AB36" s="59"/>
      <c r="AC36" s="59"/>
    </row>
    <row r="37" spans="1:29" s="1" customFormat="1" ht="33.75" customHeight="1">
      <c r="A37" s="26" t="s">
        <v>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 t="s">
        <v>37</v>
      </c>
      <c r="N37" s="28"/>
      <c r="O37" s="28"/>
      <c r="P37" s="28" t="s">
        <v>89</v>
      </c>
      <c r="Q37" s="28"/>
      <c r="R37" s="28"/>
      <c r="S37" s="58">
        <f>88451.92</f>
        <v>88451.92</v>
      </c>
      <c r="T37" s="58"/>
      <c r="U37" s="58"/>
      <c r="V37" s="58">
        <f>88451.92</f>
        <v>88451.92</v>
      </c>
      <c r="W37" s="58"/>
      <c r="X37" s="58"/>
      <c r="Y37" s="58"/>
      <c r="Z37" s="58"/>
      <c r="AA37" s="59">
        <f>0</f>
        <v>0</v>
      </c>
      <c r="AB37" s="59"/>
      <c r="AC37" s="59"/>
    </row>
    <row r="38" spans="1:29" s="1" customFormat="1" ht="13.5" customHeight="1">
      <c r="A38" s="57" t="s">
        <v>18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1" customFormat="1" ht="13.5" customHeight="1">
      <c r="A39" s="43" t="s">
        <v>90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s="1" customFormat="1" ht="34.5" customHeight="1">
      <c r="A40" s="44" t="s">
        <v>24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 t="s">
        <v>25</v>
      </c>
      <c r="M40" s="44"/>
      <c r="N40" s="44"/>
      <c r="O40" s="44" t="s">
        <v>91</v>
      </c>
      <c r="P40" s="44"/>
      <c r="Q40" s="44"/>
      <c r="R40" s="45" t="s">
        <v>92</v>
      </c>
      <c r="S40" s="45"/>
      <c r="T40" s="45" t="s">
        <v>27</v>
      </c>
      <c r="U40" s="45"/>
      <c r="V40" s="45"/>
      <c r="W40" s="45" t="s">
        <v>28</v>
      </c>
      <c r="X40" s="45"/>
      <c r="Y40" s="45"/>
      <c r="Z40" s="45"/>
      <c r="AA40" s="45"/>
      <c r="AB40" s="46" t="s">
        <v>29</v>
      </c>
      <c r="AC40" s="46"/>
    </row>
    <row r="41" spans="1:29" s="1" customFormat="1" ht="13.5" customHeight="1">
      <c r="A41" s="40" t="s">
        <v>30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 t="s">
        <v>31</v>
      </c>
      <c r="M41" s="40"/>
      <c r="N41" s="40"/>
      <c r="O41" s="40" t="s">
        <v>32</v>
      </c>
      <c r="P41" s="40"/>
      <c r="Q41" s="40"/>
      <c r="R41" s="41" t="s">
        <v>33</v>
      </c>
      <c r="S41" s="41"/>
      <c r="T41" s="41" t="s">
        <v>34</v>
      </c>
      <c r="U41" s="41"/>
      <c r="V41" s="41"/>
      <c r="W41" s="41" t="s">
        <v>35</v>
      </c>
      <c r="X41" s="41"/>
      <c r="Y41" s="41"/>
      <c r="Z41" s="41"/>
      <c r="AA41" s="41"/>
      <c r="AB41" s="42" t="s">
        <v>93</v>
      </c>
      <c r="AC41" s="42"/>
    </row>
    <row r="42" spans="1:29" s="1" customFormat="1" ht="13.5" customHeight="1">
      <c r="A42" s="34" t="s">
        <v>94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 t="s">
        <v>95</v>
      </c>
      <c r="M42" s="35"/>
      <c r="N42" s="35"/>
      <c r="O42" s="35" t="s">
        <v>38</v>
      </c>
      <c r="P42" s="35"/>
      <c r="Q42" s="35"/>
      <c r="R42" s="55" t="s">
        <v>38</v>
      </c>
      <c r="S42" s="55"/>
      <c r="T42" s="37">
        <f>56870594.89</f>
        <v>56870594.89</v>
      </c>
      <c r="U42" s="37"/>
      <c r="V42" s="37"/>
      <c r="W42" s="37">
        <f>25108709.74</f>
        <v>25108709.74</v>
      </c>
      <c r="X42" s="37"/>
      <c r="Y42" s="37"/>
      <c r="Z42" s="37"/>
      <c r="AA42" s="37"/>
      <c r="AB42" s="56">
        <f>31761885.15</f>
        <v>31761885.15</v>
      </c>
      <c r="AC42" s="56"/>
    </row>
    <row r="43" spans="1:29" s="1" customFormat="1" ht="13.5" customHeight="1">
      <c r="A43" s="13" t="s">
        <v>96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95</v>
      </c>
      <c r="M43" s="14"/>
      <c r="N43" s="14"/>
      <c r="O43" s="14" t="s">
        <v>97</v>
      </c>
      <c r="P43" s="14"/>
      <c r="Q43" s="14"/>
      <c r="R43" s="22" t="s">
        <v>98</v>
      </c>
      <c r="S43" s="22"/>
      <c r="T43" s="16">
        <f>1709700</f>
        <v>1709700</v>
      </c>
      <c r="U43" s="16"/>
      <c r="V43" s="16"/>
      <c r="W43" s="16">
        <f>767649.79</f>
        <v>767649.79</v>
      </c>
      <c r="X43" s="16"/>
      <c r="Y43" s="16"/>
      <c r="Z43" s="16"/>
      <c r="AA43" s="16"/>
      <c r="AB43" s="47">
        <f>942050.21</f>
        <v>942050.21</v>
      </c>
      <c r="AC43" s="47"/>
    </row>
    <row r="44" spans="1:29" s="1" customFormat="1" ht="13.5" customHeight="1">
      <c r="A44" s="13" t="s">
        <v>99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95</v>
      </c>
      <c r="M44" s="14"/>
      <c r="N44" s="14"/>
      <c r="O44" s="14" t="s">
        <v>100</v>
      </c>
      <c r="P44" s="14"/>
      <c r="Q44" s="14"/>
      <c r="R44" s="22" t="s">
        <v>101</v>
      </c>
      <c r="S44" s="22"/>
      <c r="T44" s="16">
        <f>437000</f>
        <v>437000</v>
      </c>
      <c r="U44" s="16"/>
      <c r="V44" s="16"/>
      <c r="W44" s="16">
        <f>225237.45</f>
        <v>225237.45</v>
      </c>
      <c r="X44" s="16"/>
      <c r="Y44" s="16"/>
      <c r="Z44" s="16"/>
      <c r="AA44" s="16"/>
      <c r="AB44" s="47">
        <f>211762.55</f>
        <v>211762.55</v>
      </c>
      <c r="AC44" s="47"/>
    </row>
    <row r="45" spans="1:29" s="1" customFormat="1" ht="13.5" customHeight="1">
      <c r="A45" s="13" t="s">
        <v>96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95</v>
      </c>
      <c r="M45" s="14"/>
      <c r="N45" s="14"/>
      <c r="O45" s="14" t="s">
        <v>102</v>
      </c>
      <c r="P45" s="14"/>
      <c r="Q45" s="14"/>
      <c r="R45" s="22" t="s">
        <v>98</v>
      </c>
      <c r="S45" s="22"/>
      <c r="T45" s="16">
        <f>9967716</f>
        <v>9967716</v>
      </c>
      <c r="U45" s="16"/>
      <c r="V45" s="16"/>
      <c r="W45" s="16">
        <f>4120823.12</f>
        <v>4120823.12</v>
      </c>
      <c r="X45" s="16"/>
      <c r="Y45" s="16"/>
      <c r="Z45" s="16"/>
      <c r="AA45" s="16"/>
      <c r="AB45" s="47">
        <f>5846892.88</f>
        <v>5846892.88</v>
      </c>
      <c r="AC45" s="47"/>
    </row>
    <row r="46" spans="1:29" s="1" customFormat="1" ht="13.5" customHeight="1">
      <c r="A46" s="13" t="s">
        <v>99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95</v>
      </c>
      <c r="M46" s="14"/>
      <c r="N46" s="14"/>
      <c r="O46" s="14" t="s">
        <v>103</v>
      </c>
      <c r="P46" s="14"/>
      <c r="Q46" s="14"/>
      <c r="R46" s="22" t="s">
        <v>101</v>
      </c>
      <c r="S46" s="22"/>
      <c r="T46" s="16">
        <f>2986000</f>
        <v>2986000</v>
      </c>
      <c r="U46" s="16"/>
      <c r="V46" s="16"/>
      <c r="W46" s="16">
        <f>1199759.18</f>
        <v>1199759.18</v>
      </c>
      <c r="X46" s="16"/>
      <c r="Y46" s="16"/>
      <c r="Z46" s="16"/>
      <c r="AA46" s="16"/>
      <c r="AB46" s="47">
        <f>1786240.82</f>
        <v>1786240.82</v>
      </c>
      <c r="AC46" s="47"/>
    </row>
    <row r="47" spans="1:29" s="1" customFormat="1" ht="13.5" customHeight="1">
      <c r="A47" s="13" t="s">
        <v>104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95</v>
      </c>
      <c r="M47" s="14"/>
      <c r="N47" s="14"/>
      <c r="O47" s="14" t="s">
        <v>105</v>
      </c>
      <c r="P47" s="14"/>
      <c r="Q47" s="14"/>
      <c r="R47" s="22" t="s">
        <v>106</v>
      </c>
      <c r="S47" s="22"/>
      <c r="T47" s="16">
        <f>7000</f>
        <v>7000</v>
      </c>
      <c r="U47" s="16"/>
      <c r="V47" s="16"/>
      <c r="W47" s="16">
        <f>6333.11</f>
        <v>6333.11</v>
      </c>
      <c r="X47" s="16"/>
      <c r="Y47" s="16"/>
      <c r="Z47" s="16"/>
      <c r="AA47" s="16"/>
      <c r="AB47" s="47">
        <f>666.89</f>
        <v>666.89</v>
      </c>
      <c r="AC47" s="47"/>
    </row>
    <row r="48" spans="1:29" s="1" customFormat="1" ht="13.5" customHeight="1">
      <c r="A48" s="13" t="s">
        <v>107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95</v>
      </c>
      <c r="M48" s="14"/>
      <c r="N48" s="14"/>
      <c r="O48" s="14" t="s">
        <v>105</v>
      </c>
      <c r="P48" s="14"/>
      <c r="Q48" s="14"/>
      <c r="R48" s="22" t="s">
        <v>108</v>
      </c>
      <c r="S48" s="22"/>
      <c r="T48" s="16">
        <f>55335</f>
        <v>55335</v>
      </c>
      <c r="U48" s="16"/>
      <c r="V48" s="16"/>
      <c r="W48" s="20" t="s">
        <v>47</v>
      </c>
      <c r="X48" s="20"/>
      <c r="Y48" s="20"/>
      <c r="Z48" s="20"/>
      <c r="AA48" s="20"/>
      <c r="AB48" s="47">
        <f>55335</f>
        <v>55335</v>
      </c>
      <c r="AC48" s="47"/>
    </row>
    <row r="49" spans="1:29" s="1" customFormat="1" ht="13.5" customHeight="1">
      <c r="A49" s="13" t="s">
        <v>109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95</v>
      </c>
      <c r="M49" s="14"/>
      <c r="N49" s="14"/>
      <c r="O49" s="14" t="s">
        <v>105</v>
      </c>
      <c r="P49" s="14"/>
      <c r="Q49" s="14"/>
      <c r="R49" s="22" t="s">
        <v>110</v>
      </c>
      <c r="S49" s="22"/>
      <c r="T49" s="16">
        <f>86000</f>
        <v>86000</v>
      </c>
      <c r="U49" s="16"/>
      <c r="V49" s="16"/>
      <c r="W49" s="16">
        <f>24500</f>
        <v>24500</v>
      </c>
      <c r="X49" s="16"/>
      <c r="Y49" s="16"/>
      <c r="Z49" s="16"/>
      <c r="AA49" s="16"/>
      <c r="AB49" s="47">
        <f>61500</f>
        <v>61500</v>
      </c>
      <c r="AC49" s="47"/>
    </row>
    <row r="50" spans="1:29" s="1" customFormat="1" ht="13.5" customHeight="1">
      <c r="A50" s="13" t="s">
        <v>111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95</v>
      </c>
      <c r="M50" s="14"/>
      <c r="N50" s="14"/>
      <c r="O50" s="14" t="s">
        <v>105</v>
      </c>
      <c r="P50" s="14"/>
      <c r="Q50" s="14"/>
      <c r="R50" s="22" t="s">
        <v>112</v>
      </c>
      <c r="S50" s="22"/>
      <c r="T50" s="16">
        <f>44900</f>
        <v>44900</v>
      </c>
      <c r="U50" s="16"/>
      <c r="V50" s="16"/>
      <c r="W50" s="16">
        <f>28258</f>
        <v>28258</v>
      </c>
      <c r="X50" s="16"/>
      <c r="Y50" s="16"/>
      <c r="Z50" s="16"/>
      <c r="AA50" s="16"/>
      <c r="AB50" s="47">
        <f>16642</f>
        <v>16642</v>
      </c>
      <c r="AC50" s="47"/>
    </row>
    <row r="51" spans="1:29" s="1" customFormat="1" ht="12.75" customHeight="1">
      <c r="A51" s="13" t="s">
        <v>113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95</v>
      </c>
      <c r="M51" s="14"/>
      <c r="N51" s="14"/>
      <c r="O51" s="14" t="s">
        <v>105</v>
      </c>
      <c r="P51" s="14"/>
      <c r="Q51" s="14"/>
      <c r="R51" s="22" t="s">
        <v>114</v>
      </c>
      <c r="S51" s="22"/>
      <c r="T51" s="16">
        <f>50000</f>
        <v>50000</v>
      </c>
      <c r="U51" s="16"/>
      <c r="V51" s="16"/>
      <c r="W51" s="16">
        <f>24000</f>
        <v>24000</v>
      </c>
      <c r="X51" s="16"/>
      <c r="Y51" s="16"/>
      <c r="Z51" s="16"/>
      <c r="AA51" s="16"/>
      <c r="AB51" s="47">
        <f>26000</f>
        <v>26000</v>
      </c>
      <c r="AC51" s="47"/>
    </row>
    <row r="52" spans="1:29" s="1" customFormat="1" ht="13.5" customHeight="1">
      <c r="A52" s="13" t="s">
        <v>115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95</v>
      </c>
      <c r="M52" s="14"/>
      <c r="N52" s="14"/>
      <c r="O52" s="14" t="s">
        <v>116</v>
      </c>
      <c r="P52" s="14"/>
      <c r="Q52" s="14"/>
      <c r="R52" s="22" t="s">
        <v>117</v>
      </c>
      <c r="S52" s="22"/>
      <c r="T52" s="16">
        <f>2000</f>
        <v>2000</v>
      </c>
      <c r="U52" s="16"/>
      <c r="V52" s="16"/>
      <c r="W52" s="20" t="s">
        <v>47</v>
      </c>
      <c r="X52" s="20"/>
      <c r="Y52" s="20"/>
      <c r="Z52" s="20"/>
      <c r="AA52" s="20"/>
      <c r="AB52" s="47">
        <f>2000</f>
        <v>2000</v>
      </c>
      <c r="AC52" s="47"/>
    </row>
    <row r="53" spans="1:29" s="1" customFormat="1" ht="13.5" customHeight="1">
      <c r="A53" s="13" t="s">
        <v>118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95</v>
      </c>
      <c r="M53" s="14"/>
      <c r="N53" s="14"/>
      <c r="O53" s="14" t="s">
        <v>119</v>
      </c>
      <c r="P53" s="14"/>
      <c r="Q53" s="14"/>
      <c r="R53" s="22" t="s">
        <v>120</v>
      </c>
      <c r="S53" s="22"/>
      <c r="T53" s="16">
        <f>20000</f>
        <v>20000</v>
      </c>
      <c r="U53" s="16"/>
      <c r="V53" s="16"/>
      <c r="W53" s="16">
        <f>7054.49</f>
        <v>7054.49</v>
      </c>
      <c r="X53" s="16"/>
      <c r="Y53" s="16"/>
      <c r="Z53" s="16"/>
      <c r="AA53" s="16"/>
      <c r="AB53" s="47">
        <f>12945.51</f>
        <v>12945.51</v>
      </c>
      <c r="AC53" s="47"/>
    </row>
    <row r="54" spans="1:29" s="1" customFormat="1" ht="13.5" customHeight="1">
      <c r="A54" s="13" t="s">
        <v>107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95</v>
      </c>
      <c r="M54" s="14"/>
      <c r="N54" s="14"/>
      <c r="O54" s="14" t="s">
        <v>121</v>
      </c>
      <c r="P54" s="14"/>
      <c r="Q54" s="14"/>
      <c r="R54" s="22" t="s">
        <v>108</v>
      </c>
      <c r="S54" s="22"/>
      <c r="T54" s="16">
        <f>50000</f>
        <v>50000</v>
      </c>
      <c r="U54" s="16"/>
      <c r="V54" s="16"/>
      <c r="W54" s="16">
        <f>24000</f>
        <v>24000</v>
      </c>
      <c r="X54" s="16"/>
      <c r="Y54" s="16"/>
      <c r="Z54" s="16"/>
      <c r="AA54" s="16"/>
      <c r="AB54" s="47">
        <f>26000</f>
        <v>26000</v>
      </c>
      <c r="AC54" s="47"/>
    </row>
    <row r="55" spans="1:29" s="1" customFormat="1" ht="13.5" customHeight="1">
      <c r="A55" s="13" t="s">
        <v>122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95</v>
      </c>
      <c r="M55" s="14"/>
      <c r="N55" s="14"/>
      <c r="O55" s="14" t="s">
        <v>123</v>
      </c>
      <c r="P55" s="14"/>
      <c r="Q55" s="14"/>
      <c r="R55" s="22" t="s">
        <v>124</v>
      </c>
      <c r="S55" s="22"/>
      <c r="T55" s="16">
        <f>150000</f>
        <v>150000</v>
      </c>
      <c r="U55" s="16"/>
      <c r="V55" s="16"/>
      <c r="W55" s="20" t="s">
        <v>47</v>
      </c>
      <c r="X55" s="20"/>
      <c r="Y55" s="20"/>
      <c r="Z55" s="20"/>
      <c r="AA55" s="20"/>
      <c r="AB55" s="47">
        <f>150000</f>
        <v>150000</v>
      </c>
      <c r="AC55" s="47"/>
    </row>
    <row r="56" spans="1:29" s="1" customFormat="1" ht="13.5" customHeight="1">
      <c r="A56" s="13" t="s">
        <v>107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95</v>
      </c>
      <c r="M56" s="14"/>
      <c r="N56" s="14"/>
      <c r="O56" s="14" t="s">
        <v>125</v>
      </c>
      <c r="P56" s="14"/>
      <c r="Q56" s="14"/>
      <c r="R56" s="22" t="s">
        <v>108</v>
      </c>
      <c r="S56" s="22"/>
      <c r="T56" s="16">
        <f>30000</f>
        <v>30000</v>
      </c>
      <c r="U56" s="16"/>
      <c r="V56" s="16"/>
      <c r="W56" s="16">
        <f>3000</f>
        <v>3000</v>
      </c>
      <c r="X56" s="16"/>
      <c r="Y56" s="16"/>
      <c r="Z56" s="16"/>
      <c r="AA56" s="16"/>
      <c r="AB56" s="47">
        <f>27000</f>
        <v>27000</v>
      </c>
      <c r="AC56" s="47"/>
    </row>
    <row r="57" spans="1:29" s="1" customFormat="1" ht="13.5" customHeight="1">
      <c r="A57" s="13" t="s">
        <v>115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95</v>
      </c>
      <c r="M57" s="14"/>
      <c r="N57" s="14"/>
      <c r="O57" s="14" t="s">
        <v>126</v>
      </c>
      <c r="P57" s="14"/>
      <c r="Q57" s="14"/>
      <c r="R57" s="22" t="s">
        <v>117</v>
      </c>
      <c r="S57" s="22"/>
      <c r="T57" s="16">
        <f>32000</f>
        <v>32000</v>
      </c>
      <c r="U57" s="16"/>
      <c r="V57" s="16"/>
      <c r="W57" s="16">
        <f>10818</f>
        <v>10818</v>
      </c>
      <c r="X57" s="16"/>
      <c r="Y57" s="16"/>
      <c r="Z57" s="16"/>
      <c r="AA57" s="16"/>
      <c r="AB57" s="47">
        <f>21182</f>
        <v>21182</v>
      </c>
      <c r="AC57" s="47"/>
    </row>
    <row r="58" spans="1:29" s="1" customFormat="1" ht="13.5" customHeight="1">
      <c r="A58" s="13" t="s">
        <v>115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95</v>
      </c>
      <c r="M58" s="14"/>
      <c r="N58" s="14"/>
      <c r="O58" s="14" t="s">
        <v>127</v>
      </c>
      <c r="P58" s="14"/>
      <c r="Q58" s="14"/>
      <c r="R58" s="22" t="s">
        <v>117</v>
      </c>
      <c r="S58" s="22"/>
      <c r="T58" s="16">
        <f>48134</f>
        <v>48134</v>
      </c>
      <c r="U58" s="16"/>
      <c r="V58" s="16"/>
      <c r="W58" s="16">
        <f>11100</f>
        <v>11100</v>
      </c>
      <c r="X58" s="16"/>
      <c r="Y58" s="16"/>
      <c r="Z58" s="16"/>
      <c r="AA58" s="16"/>
      <c r="AB58" s="47">
        <f>37034</f>
        <v>37034</v>
      </c>
      <c r="AC58" s="47"/>
    </row>
    <row r="59" spans="1:29" s="1" customFormat="1" ht="13.5" customHeight="1">
      <c r="A59" s="13" t="s">
        <v>115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95</v>
      </c>
      <c r="M59" s="14"/>
      <c r="N59" s="14"/>
      <c r="O59" s="14" t="s">
        <v>128</v>
      </c>
      <c r="P59" s="14"/>
      <c r="Q59" s="14"/>
      <c r="R59" s="22" t="s">
        <v>117</v>
      </c>
      <c r="S59" s="22"/>
      <c r="T59" s="16">
        <f>2688.56</f>
        <v>2688.56</v>
      </c>
      <c r="U59" s="16"/>
      <c r="V59" s="16"/>
      <c r="W59" s="20" t="s">
        <v>47</v>
      </c>
      <c r="X59" s="20"/>
      <c r="Y59" s="20"/>
      <c r="Z59" s="20"/>
      <c r="AA59" s="20"/>
      <c r="AB59" s="47">
        <f>2688.56</f>
        <v>2688.56</v>
      </c>
      <c r="AC59" s="47"/>
    </row>
    <row r="60" spans="1:29" s="1" customFormat="1" ht="13.5" customHeight="1">
      <c r="A60" s="13" t="s">
        <v>129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95</v>
      </c>
      <c r="M60" s="14"/>
      <c r="N60" s="14"/>
      <c r="O60" s="14" t="s">
        <v>128</v>
      </c>
      <c r="P60" s="14"/>
      <c r="Q60" s="14"/>
      <c r="R60" s="22" t="s">
        <v>130</v>
      </c>
      <c r="S60" s="22"/>
      <c r="T60" s="16">
        <f>200000</f>
        <v>200000</v>
      </c>
      <c r="U60" s="16"/>
      <c r="V60" s="16"/>
      <c r="W60" s="16">
        <f>200000</f>
        <v>200000</v>
      </c>
      <c r="X60" s="16"/>
      <c r="Y60" s="16"/>
      <c r="Z60" s="16"/>
      <c r="AA60" s="16"/>
      <c r="AB60" s="47">
        <f>0</f>
        <v>0</v>
      </c>
      <c r="AC60" s="47"/>
    </row>
    <row r="61" spans="1:29" s="1" customFormat="1" ht="13.5" customHeight="1">
      <c r="A61" s="13" t="s">
        <v>118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95</v>
      </c>
      <c r="M61" s="14"/>
      <c r="N61" s="14"/>
      <c r="O61" s="14" t="s">
        <v>128</v>
      </c>
      <c r="P61" s="14"/>
      <c r="Q61" s="14"/>
      <c r="R61" s="22" t="s">
        <v>120</v>
      </c>
      <c r="S61" s="22"/>
      <c r="T61" s="16">
        <f>15000</f>
        <v>15000</v>
      </c>
      <c r="U61" s="16"/>
      <c r="V61" s="16"/>
      <c r="W61" s="16">
        <f>15000</f>
        <v>15000</v>
      </c>
      <c r="X61" s="16"/>
      <c r="Y61" s="16"/>
      <c r="Z61" s="16"/>
      <c r="AA61" s="16"/>
      <c r="AB61" s="47">
        <f>0</f>
        <v>0</v>
      </c>
      <c r="AC61" s="47"/>
    </row>
    <row r="62" spans="1:29" s="1" customFormat="1" ht="13.5" customHeight="1">
      <c r="A62" s="13" t="s">
        <v>131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95</v>
      </c>
      <c r="M62" s="14"/>
      <c r="N62" s="14"/>
      <c r="O62" s="14" t="s">
        <v>132</v>
      </c>
      <c r="P62" s="14"/>
      <c r="Q62" s="14"/>
      <c r="R62" s="22" t="s">
        <v>133</v>
      </c>
      <c r="S62" s="22"/>
      <c r="T62" s="16">
        <f>408431.5</f>
        <v>408431.5</v>
      </c>
      <c r="U62" s="16"/>
      <c r="V62" s="16"/>
      <c r="W62" s="16">
        <f>151117.99</f>
        <v>151117.99</v>
      </c>
      <c r="X62" s="16"/>
      <c r="Y62" s="16"/>
      <c r="Z62" s="16"/>
      <c r="AA62" s="16"/>
      <c r="AB62" s="47">
        <f>257313.51</f>
        <v>257313.51</v>
      </c>
      <c r="AC62" s="47"/>
    </row>
    <row r="63" spans="1:29" s="1" customFormat="1" ht="13.5" customHeight="1">
      <c r="A63" s="13" t="s">
        <v>134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95</v>
      </c>
      <c r="M63" s="14"/>
      <c r="N63" s="14"/>
      <c r="O63" s="14" t="s">
        <v>132</v>
      </c>
      <c r="P63" s="14"/>
      <c r="Q63" s="14"/>
      <c r="R63" s="22" t="s">
        <v>135</v>
      </c>
      <c r="S63" s="22"/>
      <c r="T63" s="16">
        <f>323459.24</f>
        <v>323459.24</v>
      </c>
      <c r="U63" s="16"/>
      <c r="V63" s="16"/>
      <c r="W63" s="16">
        <f>131347.28</f>
        <v>131347.28</v>
      </c>
      <c r="X63" s="16"/>
      <c r="Y63" s="16"/>
      <c r="Z63" s="16"/>
      <c r="AA63" s="16"/>
      <c r="AB63" s="47">
        <f>192111.96</f>
        <v>192111.96</v>
      </c>
      <c r="AC63" s="47"/>
    </row>
    <row r="64" spans="1:29" s="1" customFormat="1" ht="13.5" customHeight="1">
      <c r="A64" s="13" t="s">
        <v>107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95</v>
      </c>
      <c r="M64" s="14"/>
      <c r="N64" s="14"/>
      <c r="O64" s="14" t="s">
        <v>132</v>
      </c>
      <c r="P64" s="14"/>
      <c r="Q64" s="14"/>
      <c r="R64" s="22" t="s">
        <v>108</v>
      </c>
      <c r="S64" s="22"/>
      <c r="T64" s="16">
        <f>126318.96</f>
        <v>126318.96</v>
      </c>
      <c r="U64" s="16"/>
      <c r="V64" s="16"/>
      <c r="W64" s="16">
        <f>44409.48</f>
        <v>44409.48</v>
      </c>
      <c r="X64" s="16"/>
      <c r="Y64" s="16"/>
      <c r="Z64" s="16"/>
      <c r="AA64" s="16"/>
      <c r="AB64" s="47">
        <f>81909.48</f>
        <v>81909.48</v>
      </c>
      <c r="AC64" s="47"/>
    </row>
    <row r="65" spans="1:29" s="1" customFormat="1" ht="13.5" customHeight="1">
      <c r="A65" s="13" t="s">
        <v>136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95</v>
      </c>
      <c r="M65" s="14"/>
      <c r="N65" s="14"/>
      <c r="O65" s="14" t="s">
        <v>132</v>
      </c>
      <c r="P65" s="14"/>
      <c r="Q65" s="14"/>
      <c r="R65" s="22" t="s">
        <v>137</v>
      </c>
      <c r="S65" s="22"/>
      <c r="T65" s="16">
        <f>52506.51</f>
        <v>52506.51</v>
      </c>
      <c r="U65" s="16"/>
      <c r="V65" s="16"/>
      <c r="W65" s="20" t="s">
        <v>47</v>
      </c>
      <c r="X65" s="20"/>
      <c r="Y65" s="20"/>
      <c r="Z65" s="20"/>
      <c r="AA65" s="20"/>
      <c r="AB65" s="47">
        <f>52506.51</f>
        <v>52506.51</v>
      </c>
      <c r="AC65" s="47"/>
    </row>
    <row r="66" spans="1:29" s="1" customFormat="1" ht="13.5" customHeight="1">
      <c r="A66" s="13" t="s">
        <v>138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95</v>
      </c>
      <c r="M66" s="14"/>
      <c r="N66" s="14"/>
      <c r="O66" s="14" t="s">
        <v>132</v>
      </c>
      <c r="P66" s="14"/>
      <c r="Q66" s="14"/>
      <c r="R66" s="22" t="s">
        <v>139</v>
      </c>
      <c r="S66" s="22"/>
      <c r="T66" s="16">
        <f>31000</f>
        <v>31000</v>
      </c>
      <c r="U66" s="16"/>
      <c r="V66" s="16"/>
      <c r="W66" s="16">
        <f>1500</f>
        <v>1500</v>
      </c>
      <c r="X66" s="16"/>
      <c r="Y66" s="16"/>
      <c r="Z66" s="16"/>
      <c r="AA66" s="16"/>
      <c r="AB66" s="47">
        <f>29500</f>
        <v>29500</v>
      </c>
      <c r="AC66" s="47"/>
    </row>
    <row r="67" spans="1:29" s="1" customFormat="1" ht="13.5" customHeight="1">
      <c r="A67" s="13" t="s">
        <v>140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95</v>
      </c>
      <c r="M67" s="14"/>
      <c r="N67" s="14"/>
      <c r="O67" s="14" t="s">
        <v>132</v>
      </c>
      <c r="P67" s="14"/>
      <c r="Q67" s="14"/>
      <c r="R67" s="22" t="s">
        <v>141</v>
      </c>
      <c r="S67" s="22"/>
      <c r="T67" s="16">
        <f>620820</f>
        <v>620820</v>
      </c>
      <c r="U67" s="16"/>
      <c r="V67" s="16"/>
      <c r="W67" s="16">
        <f>217112.64</f>
        <v>217112.64</v>
      </c>
      <c r="X67" s="16"/>
      <c r="Y67" s="16"/>
      <c r="Z67" s="16"/>
      <c r="AA67" s="16"/>
      <c r="AB67" s="47">
        <f>403707.36</f>
        <v>403707.36</v>
      </c>
      <c r="AC67" s="47"/>
    </row>
    <row r="68" spans="1:29" s="1" customFormat="1" ht="13.5" customHeight="1">
      <c r="A68" s="13" t="s">
        <v>142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95</v>
      </c>
      <c r="M68" s="14"/>
      <c r="N68" s="14"/>
      <c r="O68" s="14" t="s">
        <v>132</v>
      </c>
      <c r="P68" s="14"/>
      <c r="Q68" s="14"/>
      <c r="R68" s="22" t="s">
        <v>143</v>
      </c>
      <c r="S68" s="22"/>
      <c r="T68" s="16">
        <f>6900</f>
        <v>6900</v>
      </c>
      <c r="U68" s="16"/>
      <c r="V68" s="16"/>
      <c r="W68" s="20" t="s">
        <v>47</v>
      </c>
      <c r="X68" s="20"/>
      <c r="Y68" s="20"/>
      <c r="Z68" s="20"/>
      <c r="AA68" s="20"/>
      <c r="AB68" s="47">
        <f>6900</f>
        <v>6900</v>
      </c>
      <c r="AC68" s="47"/>
    </row>
    <row r="69" spans="1:29" s="1" customFormat="1" ht="13.5" customHeight="1">
      <c r="A69" s="13" t="s">
        <v>111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95</v>
      </c>
      <c r="M69" s="14"/>
      <c r="N69" s="14"/>
      <c r="O69" s="14" t="s">
        <v>132</v>
      </c>
      <c r="P69" s="14"/>
      <c r="Q69" s="14"/>
      <c r="R69" s="22" t="s">
        <v>112</v>
      </c>
      <c r="S69" s="22"/>
      <c r="T69" s="16">
        <f>107719.72</f>
        <v>107719.72</v>
      </c>
      <c r="U69" s="16"/>
      <c r="V69" s="16"/>
      <c r="W69" s="16">
        <f>98432</f>
        <v>98432</v>
      </c>
      <c r="X69" s="16"/>
      <c r="Y69" s="16"/>
      <c r="Z69" s="16"/>
      <c r="AA69" s="16"/>
      <c r="AB69" s="47">
        <f>9287.72</f>
        <v>9287.72</v>
      </c>
      <c r="AC69" s="47"/>
    </row>
    <row r="70" spans="1:29" s="1" customFormat="1" ht="13.5" customHeight="1">
      <c r="A70" s="13" t="s">
        <v>144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95</v>
      </c>
      <c r="M70" s="14"/>
      <c r="N70" s="14"/>
      <c r="O70" s="14" t="s">
        <v>132</v>
      </c>
      <c r="P70" s="14"/>
      <c r="Q70" s="14"/>
      <c r="R70" s="22" t="s">
        <v>145</v>
      </c>
      <c r="S70" s="22"/>
      <c r="T70" s="16">
        <f>800</f>
        <v>800</v>
      </c>
      <c r="U70" s="16"/>
      <c r="V70" s="16"/>
      <c r="W70" s="16">
        <f>800</f>
        <v>800</v>
      </c>
      <c r="X70" s="16"/>
      <c r="Y70" s="16"/>
      <c r="Z70" s="16"/>
      <c r="AA70" s="16"/>
      <c r="AB70" s="47">
        <f>0</f>
        <v>0</v>
      </c>
      <c r="AC70" s="47"/>
    </row>
    <row r="71" spans="1:29" s="1" customFormat="1" ht="13.5" customHeight="1">
      <c r="A71" s="13" t="s">
        <v>146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95</v>
      </c>
      <c r="M71" s="14"/>
      <c r="N71" s="14"/>
      <c r="O71" s="14" t="s">
        <v>147</v>
      </c>
      <c r="P71" s="14"/>
      <c r="Q71" s="14"/>
      <c r="R71" s="22" t="s">
        <v>148</v>
      </c>
      <c r="S71" s="22"/>
      <c r="T71" s="16">
        <f>357500</f>
        <v>357500</v>
      </c>
      <c r="U71" s="16"/>
      <c r="V71" s="16"/>
      <c r="W71" s="20" t="s">
        <v>47</v>
      </c>
      <c r="X71" s="20"/>
      <c r="Y71" s="20"/>
      <c r="Z71" s="20"/>
      <c r="AA71" s="20"/>
      <c r="AB71" s="47">
        <f>357500</f>
        <v>357500</v>
      </c>
      <c r="AC71" s="47"/>
    </row>
    <row r="72" spans="1:29" s="1" customFormat="1" ht="13.5" customHeight="1">
      <c r="A72" s="13" t="s">
        <v>149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95</v>
      </c>
      <c r="M72" s="14"/>
      <c r="N72" s="14"/>
      <c r="O72" s="14" t="s">
        <v>147</v>
      </c>
      <c r="P72" s="14"/>
      <c r="Q72" s="14"/>
      <c r="R72" s="22" t="s">
        <v>150</v>
      </c>
      <c r="S72" s="22"/>
      <c r="T72" s="16">
        <f>570000</f>
        <v>570000</v>
      </c>
      <c r="U72" s="16"/>
      <c r="V72" s="16"/>
      <c r="W72" s="16">
        <f>460000</f>
        <v>460000</v>
      </c>
      <c r="X72" s="16"/>
      <c r="Y72" s="16"/>
      <c r="Z72" s="16"/>
      <c r="AA72" s="16"/>
      <c r="AB72" s="47">
        <f>110000</f>
        <v>110000</v>
      </c>
      <c r="AC72" s="47"/>
    </row>
    <row r="73" spans="1:29" s="1" customFormat="1" ht="13.5" customHeight="1">
      <c r="A73" s="13" t="s">
        <v>99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95</v>
      </c>
      <c r="M73" s="14"/>
      <c r="N73" s="14"/>
      <c r="O73" s="14" t="s">
        <v>151</v>
      </c>
      <c r="P73" s="14"/>
      <c r="Q73" s="14"/>
      <c r="R73" s="22" t="s">
        <v>101</v>
      </c>
      <c r="S73" s="22"/>
      <c r="T73" s="16">
        <f>172140</f>
        <v>172140</v>
      </c>
      <c r="U73" s="16"/>
      <c r="V73" s="16"/>
      <c r="W73" s="16">
        <f>138920</f>
        <v>138920</v>
      </c>
      <c r="X73" s="16"/>
      <c r="Y73" s="16"/>
      <c r="Z73" s="16"/>
      <c r="AA73" s="16"/>
      <c r="AB73" s="47">
        <f>33220</f>
        <v>33220</v>
      </c>
      <c r="AC73" s="47"/>
    </row>
    <row r="74" spans="1:29" s="1" customFormat="1" ht="13.5" customHeight="1">
      <c r="A74" s="13" t="s">
        <v>152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95</v>
      </c>
      <c r="M74" s="14"/>
      <c r="N74" s="14"/>
      <c r="O74" s="14" t="s">
        <v>153</v>
      </c>
      <c r="P74" s="14"/>
      <c r="Q74" s="14"/>
      <c r="R74" s="22" t="s">
        <v>154</v>
      </c>
      <c r="S74" s="22"/>
      <c r="T74" s="16">
        <f>61500</f>
        <v>61500</v>
      </c>
      <c r="U74" s="16"/>
      <c r="V74" s="16"/>
      <c r="W74" s="16">
        <f>20500</f>
        <v>20500</v>
      </c>
      <c r="X74" s="16"/>
      <c r="Y74" s="16"/>
      <c r="Z74" s="16"/>
      <c r="AA74" s="16"/>
      <c r="AB74" s="47">
        <f>41000</f>
        <v>41000</v>
      </c>
      <c r="AC74" s="47"/>
    </row>
    <row r="75" spans="1:29" s="1" customFormat="1" ht="13.5" customHeight="1">
      <c r="A75" s="13" t="s">
        <v>96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95</v>
      </c>
      <c r="M75" s="14"/>
      <c r="N75" s="14"/>
      <c r="O75" s="14" t="s">
        <v>155</v>
      </c>
      <c r="P75" s="14"/>
      <c r="Q75" s="14"/>
      <c r="R75" s="22" t="s">
        <v>98</v>
      </c>
      <c r="S75" s="22"/>
      <c r="T75" s="16">
        <f>167281</f>
        <v>167281</v>
      </c>
      <c r="U75" s="16"/>
      <c r="V75" s="16"/>
      <c r="W75" s="16">
        <f>77841.5</f>
        <v>77841.5</v>
      </c>
      <c r="X75" s="16"/>
      <c r="Y75" s="16"/>
      <c r="Z75" s="16"/>
      <c r="AA75" s="16"/>
      <c r="AB75" s="47">
        <f>89439.5</f>
        <v>89439.5</v>
      </c>
      <c r="AC75" s="47"/>
    </row>
    <row r="76" spans="1:29" s="1" customFormat="1" ht="13.5" customHeight="1">
      <c r="A76" s="13" t="s">
        <v>99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95</v>
      </c>
      <c r="M76" s="14"/>
      <c r="N76" s="14"/>
      <c r="O76" s="14" t="s">
        <v>156</v>
      </c>
      <c r="P76" s="14"/>
      <c r="Q76" s="14"/>
      <c r="R76" s="22" t="s">
        <v>101</v>
      </c>
      <c r="S76" s="22"/>
      <c r="T76" s="16">
        <f>50519</f>
        <v>50519</v>
      </c>
      <c r="U76" s="16"/>
      <c r="V76" s="16"/>
      <c r="W76" s="16">
        <f>23508.47</f>
        <v>23508.47</v>
      </c>
      <c r="X76" s="16"/>
      <c r="Y76" s="16"/>
      <c r="Z76" s="16"/>
      <c r="AA76" s="16"/>
      <c r="AB76" s="47">
        <f>27010.53</f>
        <v>27010.53</v>
      </c>
      <c r="AC76" s="47"/>
    </row>
    <row r="77" spans="1:29" s="1" customFormat="1" ht="13.5" customHeight="1">
      <c r="A77" s="13" t="s">
        <v>96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95</v>
      </c>
      <c r="M77" s="14"/>
      <c r="N77" s="14"/>
      <c r="O77" s="14" t="s">
        <v>157</v>
      </c>
      <c r="P77" s="14"/>
      <c r="Q77" s="14"/>
      <c r="R77" s="22" t="s">
        <v>98</v>
      </c>
      <c r="S77" s="22"/>
      <c r="T77" s="16">
        <f>24624.86</f>
        <v>24624.86</v>
      </c>
      <c r="U77" s="16"/>
      <c r="V77" s="16"/>
      <c r="W77" s="16">
        <f>12312.42</f>
        <v>12312.42</v>
      </c>
      <c r="X77" s="16"/>
      <c r="Y77" s="16"/>
      <c r="Z77" s="16"/>
      <c r="AA77" s="16"/>
      <c r="AB77" s="47">
        <f>12312.44</f>
        <v>12312.44</v>
      </c>
      <c r="AC77" s="47"/>
    </row>
    <row r="78" spans="1:29" s="1" customFormat="1" ht="13.5" customHeight="1">
      <c r="A78" s="13" t="s">
        <v>99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95</v>
      </c>
      <c r="M78" s="14"/>
      <c r="N78" s="14"/>
      <c r="O78" s="14" t="s">
        <v>158</v>
      </c>
      <c r="P78" s="14"/>
      <c r="Q78" s="14"/>
      <c r="R78" s="22" t="s">
        <v>101</v>
      </c>
      <c r="S78" s="22"/>
      <c r="T78" s="16">
        <f>7436.7</f>
        <v>7436.7</v>
      </c>
      <c r="U78" s="16"/>
      <c r="V78" s="16"/>
      <c r="W78" s="16">
        <f>3718.38</f>
        <v>3718.38</v>
      </c>
      <c r="X78" s="16"/>
      <c r="Y78" s="16"/>
      <c r="Z78" s="16"/>
      <c r="AA78" s="16"/>
      <c r="AB78" s="47">
        <f>3718.32</f>
        <v>3718.32</v>
      </c>
      <c r="AC78" s="47"/>
    </row>
    <row r="79" spans="1:29" s="1" customFormat="1" ht="13.5" customHeight="1">
      <c r="A79" s="13" t="s">
        <v>134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95</v>
      </c>
      <c r="M79" s="14"/>
      <c r="N79" s="14"/>
      <c r="O79" s="14" t="s">
        <v>159</v>
      </c>
      <c r="P79" s="14"/>
      <c r="Q79" s="14"/>
      <c r="R79" s="22" t="s">
        <v>135</v>
      </c>
      <c r="S79" s="22"/>
      <c r="T79" s="16">
        <f>100000</f>
        <v>100000</v>
      </c>
      <c r="U79" s="16"/>
      <c r="V79" s="16"/>
      <c r="W79" s="20" t="s">
        <v>47</v>
      </c>
      <c r="X79" s="20"/>
      <c r="Y79" s="20"/>
      <c r="Z79" s="20"/>
      <c r="AA79" s="20"/>
      <c r="AB79" s="47">
        <f>100000</f>
        <v>100000</v>
      </c>
      <c r="AC79" s="47"/>
    </row>
    <row r="80" spans="1:29" s="1" customFormat="1" ht="13.5" customHeight="1">
      <c r="A80" s="13" t="s">
        <v>107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95</v>
      </c>
      <c r="M80" s="14"/>
      <c r="N80" s="14"/>
      <c r="O80" s="14" t="s">
        <v>159</v>
      </c>
      <c r="P80" s="14"/>
      <c r="Q80" s="14"/>
      <c r="R80" s="22" t="s">
        <v>108</v>
      </c>
      <c r="S80" s="22"/>
      <c r="T80" s="16">
        <f>10000</f>
        <v>10000</v>
      </c>
      <c r="U80" s="16"/>
      <c r="V80" s="16"/>
      <c r="W80" s="16">
        <f>10000</f>
        <v>10000</v>
      </c>
      <c r="X80" s="16"/>
      <c r="Y80" s="16"/>
      <c r="Z80" s="16"/>
      <c r="AA80" s="16"/>
      <c r="AB80" s="47">
        <f>0</f>
        <v>0</v>
      </c>
      <c r="AC80" s="47"/>
    </row>
    <row r="81" spans="1:29" s="1" customFormat="1" ht="13.5" customHeight="1">
      <c r="A81" s="13" t="s">
        <v>138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95</v>
      </c>
      <c r="M81" s="14"/>
      <c r="N81" s="14"/>
      <c r="O81" s="14" t="s">
        <v>160</v>
      </c>
      <c r="P81" s="14"/>
      <c r="Q81" s="14"/>
      <c r="R81" s="22" t="s">
        <v>139</v>
      </c>
      <c r="S81" s="22"/>
      <c r="T81" s="16">
        <f>105456</f>
        <v>105456</v>
      </c>
      <c r="U81" s="16"/>
      <c r="V81" s="16"/>
      <c r="W81" s="20" t="s">
        <v>47</v>
      </c>
      <c r="X81" s="20"/>
      <c r="Y81" s="20"/>
      <c r="Z81" s="20"/>
      <c r="AA81" s="20"/>
      <c r="AB81" s="47">
        <f>105456</f>
        <v>105456</v>
      </c>
      <c r="AC81" s="47"/>
    </row>
    <row r="82" spans="1:29" s="1" customFormat="1" ht="13.5" customHeight="1">
      <c r="A82" s="13" t="s">
        <v>134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95</v>
      </c>
      <c r="M82" s="14"/>
      <c r="N82" s="14"/>
      <c r="O82" s="14" t="s">
        <v>161</v>
      </c>
      <c r="P82" s="14"/>
      <c r="Q82" s="14"/>
      <c r="R82" s="22" t="s">
        <v>135</v>
      </c>
      <c r="S82" s="22"/>
      <c r="T82" s="16">
        <f>12000</f>
        <v>12000</v>
      </c>
      <c r="U82" s="16"/>
      <c r="V82" s="16"/>
      <c r="W82" s="20" t="s">
        <v>47</v>
      </c>
      <c r="X82" s="20"/>
      <c r="Y82" s="20"/>
      <c r="Z82" s="20"/>
      <c r="AA82" s="20"/>
      <c r="AB82" s="47">
        <f>12000</f>
        <v>12000</v>
      </c>
      <c r="AC82" s="47"/>
    </row>
    <row r="83" spans="1:29" s="1" customFormat="1" ht="13.5" customHeight="1">
      <c r="A83" s="13" t="s">
        <v>111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95</v>
      </c>
      <c r="M83" s="14"/>
      <c r="N83" s="14"/>
      <c r="O83" s="14" t="s">
        <v>162</v>
      </c>
      <c r="P83" s="14"/>
      <c r="Q83" s="14"/>
      <c r="R83" s="22" t="s">
        <v>112</v>
      </c>
      <c r="S83" s="22"/>
      <c r="T83" s="16">
        <f>5000</f>
        <v>5000</v>
      </c>
      <c r="U83" s="16"/>
      <c r="V83" s="16"/>
      <c r="W83" s="16">
        <f>5000</f>
        <v>5000</v>
      </c>
      <c r="X83" s="16"/>
      <c r="Y83" s="16"/>
      <c r="Z83" s="16"/>
      <c r="AA83" s="16"/>
      <c r="AB83" s="47">
        <f>0</f>
        <v>0</v>
      </c>
      <c r="AC83" s="47"/>
    </row>
    <row r="84" spans="1:29" s="1" customFormat="1" ht="13.5" customHeight="1">
      <c r="A84" s="13" t="s">
        <v>107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95</v>
      </c>
      <c r="M84" s="14"/>
      <c r="N84" s="14"/>
      <c r="O84" s="14" t="s">
        <v>163</v>
      </c>
      <c r="P84" s="14"/>
      <c r="Q84" s="14"/>
      <c r="R84" s="22" t="s">
        <v>108</v>
      </c>
      <c r="S84" s="22"/>
      <c r="T84" s="16">
        <f>50000</f>
        <v>50000</v>
      </c>
      <c r="U84" s="16"/>
      <c r="V84" s="16"/>
      <c r="W84" s="20" t="s">
        <v>47</v>
      </c>
      <c r="X84" s="20"/>
      <c r="Y84" s="20"/>
      <c r="Z84" s="20"/>
      <c r="AA84" s="20"/>
      <c r="AB84" s="47">
        <f>50000</f>
        <v>50000</v>
      </c>
      <c r="AC84" s="47"/>
    </row>
    <row r="85" spans="1:29" s="1" customFormat="1" ht="13.5" customHeight="1">
      <c r="A85" s="13" t="s">
        <v>107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95</v>
      </c>
      <c r="M85" s="14"/>
      <c r="N85" s="14"/>
      <c r="O85" s="14" t="s">
        <v>164</v>
      </c>
      <c r="P85" s="14"/>
      <c r="Q85" s="14"/>
      <c r="R85" s="22" t="s">
        <v>108</v>
      </c>
      <c r="S85" s="22"/>
      <c r="T85" s="16">
        <f>5000</f>
        <v>5000</v>
      </c>
      <c r="U85" s="16"/>
      <c r="V85" s="16"/>
      <c r="W85" s="20" t="s">
        <v>47</v>
      </c>
      <c r="X85" s="20"/>
      <c r="Y85" s="20"/>
      <c r="Z85" s="20"/>
      <c r="AA85" s="20"/>
      <c r="AB85" s="47">
        <f>5000</f>
        <v>5000</v>
      </c>
      <c r="AC85" s="47"/>
    </row>
    <row r="86" spans="1:29" s="1" customFormat="1" ht="13.5" customHeight="1">
      <c r="A86" s="13" t="s">
        <v>113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95</v>
      </c>
      <c r="M86" s="14"/>
      <c r="N86" s="14"/>
      <c r="O86" s="14" t="s">
        <v>165</v>
      </c>
      <c r="P86" s="14"/>
      <c r="Q86" s="14"/>
      <c r="R86" s="22" t="s">
        <v>114</v>
      </c>
      <c r="S86" s="22"/>
      <c r="T86" s="16">
        <f>5000</f>
        <v>5000</v>
      </c>
      <c r="U86" s="16"/>
      <c r="V86" s="16"/>
      <c r="W86" s="20" t="s">
        <v>47</v>
      </c>
      <c r="X86" s="20"/>
      <c r="Y86" s="20"/>
      <c r="Z86" s="20"/>
      <c r="AA86" s="20"/>
      <c r="AB86" s="47">
        <f>5000</f>
        <v>5000</v>
      </c>
      <c r="AC86" s="47"/>
    </row>
    <row r="87" spans="1:29" s="1" customFormat="1" ht="13.5" customHeight="1">
      <c r="A87" s="13" t="s">
        <v>107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95</v>
      </c>
      <c r="M87" s="14"/>
      <c r="N87" s="14"/>
      <c r="O87" s="14" t="s">
        <v>166</v>
      </c>
      <c r="P87" s="14"/>
      <c r="Q87" s="14"/>
      <c r="R87" s="22" t="s">
        <v>108</v>
      </c>
      <c r="S87" s="22"/>
      <c r="T87" s="16">
        <f>87500</f>
        <v>87500</v>
      </c>
      <c r="U87" s="16"/>
      <c r="V87" s="16"/>
      <c r="W87" s="20" t="s">
        <v>47</v>
      </c>
      <c r="X87" s="20"/>
      <c r="Y87" s="20"/>
      <c r="Z87" s="20"/>
      <c r="AA87" s="20"/>
      <c r="AB87" s="47">
        <f>87500</f>
        <v>87500</v>
      </c>
      <c r="AC87" s="47"/>
    </row>
    <row r="88" spans="1:29" s="1" customFormat="1" ht="13.5" customHeight="1">
      <c r="A88" s="13" t="s">
        <v>113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95</v>
      </c>
      <c r="M88" s="14"/>
      <c r="N88" s="14"/>
      <c r="O88" s="14" t="s">
        <v>167</v>
      </c>
      <c r="P88" s="14"/>
      <c r="Q88" s="14"/>
      <c r="R88" s="22" t="s">
        <v>114</v>
      </c>
      <c r="S88" s="22"/>
      <c r="T88" s="16">
        <f>3000</f>
        <v>3000</v>
      </c>
      <c r="U88" s="16"/>
      <c r="V88" s="16"/>
      <c r="W88" s="20" t="s">
        <v>47</v>
      </c>
      <c r="X88" s="20"/>
      <c r="Y88" s="20"/>
      <c r="Z88" s="20"/>
      <c r="AA88" s="20"/>
      <c r="AB88" s="47">
        <f>3000</f>
        <v>3000</v>
      </c>
      <c r="AC88" s="47"/>
    </row>
    <row r="89" spans="1:29" s="1" customFormat="1" ht="13.5" customHeight="1">
      <c r="A89" s="13" t="s">
        <v>136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95</v>
      </c>
      <c r="M89" s="14"/>
      <c r="N89" s="14"/>
      <c r="O89" s="14" t="s">
        <v>168</v>
      </c>
      <c r="P89" s="14"/>
      <c r="Q89" s="14"/>
      <c r="R89" s="22" t="s">
        <v>137</v>
      </c>
      <c r="S89" s="22"/>
      <c r="T89" s="16">
        <f>1800</f>
        <v>1800</v>
      </c>
      <c r="U89" s="16"/>
      <c r="V89" s="16"/>
      <c r="W89" s="20" t="s">
        <v>47</v>
      </c>
      <c r="X89" s="20"/>
      <c r="Y89" s="20"/>
      <c r="Z89" s="20"/>
      <c r="AA89" s="20"/>
      <c r="AB89" s="47">
        <f>1800</f>
        <v>1800</v>
      </c>
      <c r="AC89" s="47"/>
    </row>
    <row r="90" spans="1:29" s="1" customFormat="1" ht="13.5" customHeight="1">
      <c r="A90" s="13" t="s">
        <v>169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95</v>
      </c>
      <c r="M90" s="14"/>
      <c r="N90" s="14"/>
      <c r="O90" s="14" t="s">
        <v>170</v>
      </c>
      <c r="P90" s="14"/>
      <c r="Q90" s="14"/>
      <c r="R90" s="22" t="s">
        <v>171</v>
      </c>
      <c r="S90" s="22"/>
      <c r="T90" s="16">
        <f>14700</f>
        <v>14700</v>
      </c>
      <c r="U90" s="16"/>
      <c r="V90" s="16"/>
      <c r="W90" s="20" t="s">
        <v>47</v>
      </c>
      <c r="X90" s="20"/>
      <c r="Y90" s="20"/>
      <c r="Z90" s="20"/>
      <c r="AA90" s="20"/>
      <c r="AB90" s="47">
        <f>14700</f>
        <v>14700</v>
      </c>
      <c r="AC90" s="47"/>
    </row>
    <row r="91" spans="1:29" s="1" customFormat="1" ht="13.5" customHeight="1">
      <c r="A91" s="13" t="s">
        <v>169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95</v>
      </c>
      <c r="M91" s="14"/>
      <c r="N91" s="14"/>
      <c r="O91" s="14" t="s">
        <v>172</v>
      </c>
      <c r="P91" s="14"/>
      <c r="Q91" s="14"/>
      <c r="R91" s="22" t="s">
        <v>171</v>
      </c>
      <c r="S91" s="22"/>
      <c r="T91" s="16">
        <f>14700</f>
        <v>14700</v>
      </c>
      <c r="U91" s="16"/>
      <c r="V91" s="16"/>
      <c r="W91" s="20" t="s">
        <v>47</v>
      </c>
      <c r="X91" s="20"/>
      <c r="Y91" s="20"/>
      <c r="Z91" s="20"/>
      <c r="AA91" s="20"/>
      <c r="AB91" s="47">
        <f>14700</f>
        <v>14700</v>
      </c>
      <c r="AC91" s="47"/>
    </row>
    <row r="92" spans="1:29" s="1" customFormat="1" ht="13.5" customHeight="1">
      <c r="A92" s="13" t="s">
        <v>134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95</v>
      </c>
      <c r="M92" s="14"/>
      <c r="N92" s="14"/>
      <c r="O92" s="14" t="s">
        <v>173</v>
      </c>
      <c r="P92" s="14"/>
      <c r="Q92" s="14"/>
      <c r="R92" s="22" t="s">
        <v>135</v>
      </c>
      <c r="S92" s="22"/>
      <c r="T92" s="16">
        <f>2457239.93</f>
        <v>2457239.93</v>
      </c>
      <c r="U92" s="16"/>
      <c r="V92" s="16"/>
      <c r="W92" s="53">
        <f>1142570.58</f>
        <v>1142570.58</v>
      </c>
      <c r="X92" s="53"/>
      <c r="Y92" s="53"/>
      <c r="Z92" s="53"/>
      <c r="AA92" s="53"/>
      <c r="AB92" s="47">
        <f>1314669.35</f>
        <v>1314669.35</v>
      </c>
      <c r="AC92" s="47"/>
    </row>
    <row r="93" spans="1:29" s="1" customFormat="1" ht="13.5" customHeight="1">
      <c r="A93" s="13" t="s">
        <v>107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95</v>
      </c>
      <c r="M93" s="14"/>
      <c r="N93" s="14"/>
      <c r="O93" s="14" t="s">
        <v>173</v>
      </c>
      <c r="P93" s="14"/>
      <c r="Q93" s="14"/>
      <c r="R93" s="22" t="s">
        <v>108</v>
      </c>
      <c r="S93" s="22"/>
      <c r="T93" s="16">
        <f>14000</f>
        <v>14000</v>
      </c>
      <c r="U93" s="16"/>
      <c r="V93" s="16"/>
      <c r="W93" s="54" t="s">
        <v>47</v>
      </c>
      <c r="X93" s="54"/>
      <c r="Y93" s="54"/>
      <c r="Z93" s="54"/>
      <c r="AA93" s="54"/>
      <c r="AB93" s="47">
        <f>14000</f>
        <v>14000</v>
      </c>
      <c r="AC93" s="47"/>
    </row>
    <row r="94" spans="1:29" s="1" customFormat="1" ht="13.5" customHeight="1">
      <c r="A94" s="13" t="s">
        <v>138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95</v>
      </c>
      <c r="M94" s="14"/>
      <c r="N94" s="14"/>
      <c r="O94" s="14" t="s">
        <v>173</v>
      </c>
      <c r="P94" s="14"/>
      <c r="Q94" s="14"/>
      <c r="R94" s="22" t="s">
        <v>139</v>
      </c>
      <c r="S94" s="22"/>
      <c r="T94" s="16">
        <f>19364</f>
        <v>19364</v>
      </c>
      <c r="U94" s="16"/>
      <c r="V94" s="16"/>
      <c r="W94" s="53">
        <f>19364</f>
        <v>19364</v>
      </c>
      <c r="X94" s="53"/>
      <c r="Y94" s="53"/>
      <c r="Z94" s="53"/>
      <c r="AA94" s="53"/>
      <c r="AB94" s="47">
        <f>0</f>
        <v>0</v>
      </c>
      <c r="AC94" s="47"/>
    </row>
    <row r="95" spans="1:29" s="1" customFormat="1" ht="13.5" customHeight="1">
      <c r="A95" s="13" t="s">
        <v>111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95</v>
      </c>
      <c r="M95" s="14"/>
      <c r="N95" s="14"/>
      <c r="O95" s="14" t="s">
        <v>173</v>
      </c>
      <c r="P95" s="14"/>
      <c r="Q95" s="14"/>
      <c r="R95" s="22" t="s">
        <v>112</v>
      </c>
      <c r="S95" s="22"/>
      <c r="T95" s="16">
        <f>47376</f>
        <v>47376</v>
      </c>
      <c r="U95" s="16"/>
      <c r="V95" s="16"/>
      <c r="W95" s="54" t="s">
        <v>47</v>
      </c>
      <c r="X95" s="54"/>
      <c r="Y95" s="54"/>
      <c r="Z95" s="54"/>
      <c r="AA95" s="54"/>
      <c r="AB95" s="47">
        <f>47376</f>
        <v>47376</v>
      </c>
      <c r="AC95" s="47"/>
    </row>
    <row r="96" spans="1:29" s="1" customFormat="1" ht="13.5" customHeight="1">
      <c r="A96" s="13" t="s">
        <v>134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95</v>
      </c>
      <c r="M96" s="14"/>
      <c r="N96" s="14"/>
      <c r="O96" s="14" t="s">
        <v>174</v>
      </c>
      <c r="P96" s="14"/>
      <c r="Q96" s="14"/>
      <c r="R96" s="22" t="s">
        <v>135</v>
      </c>
      <c r="S96" s="22"/>
      <c r="T96" s="16">
        <f>165448.5</f>
        <v>165448.5</v>
      </c>
      <c r="U96" s="16"/>
      <c r="V96" s="16"/>
      <c r="W96" s="53">
        <f>138493.4</f>
        <v>138493.4</v>
      </c>
      <c r="X96" s="53"/>
      <c r="Y96" s="53"/>
      <c r="Z96" s="53"/>
      <c r="AA96" s="53"/>
      <c r="AB96" s="47">
        <f>26955.1</f>
        <v>26955.1</v>
      </c>
      <c r="AC96" s="47"/>
    </row>
    <row r="97" spans="1:29" s="1" customFormat="1" ht="13.5" customHeight="1">
      <c r="A97" s="13" t="s">
        <v>104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95</v>
      </c>
      <c r="M97" s="14"/>
      <c r="N97" s="14"/>
      <c r="O97" s="14" t="s">
        <v>175</v>
      </c>
      <c r="P97" s="14"/>
      <c r="Q97" s="14"/>
      <c r="R97" s="22" t="s">
        <v>106</v>
      </c>
      <c r="S97" s="22"/>
      <c r="T97" s="16">
        <f>295000</f>
        <v>295000</v>
      </c>
      <c r="U97" s="16"/>
      <c r="V97" s="16"/>
      <c r="W97" s="16">
        <f>92424.12</f>
        <v>92424.12</v>
      </c>
      <c r="X97" s="16"/>
      <c r="Y97" s="16"/>
      <c r="Z97" s="16"/>
      <c r="AA97" s="16"/>
      <c r="AB97" s="47">
        <f>202575.88</f>
        <v>202575.88</v>
      </c>
      <c r="AC97" s="47"/>
    </row>
    <row r="98" spans="1:29" s="1" customFormat="1" ht="13.5" customHeight="1">
      <c r="A98" s="13" t="s">
        <v>134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95</v>
      </c>
      <c r="M98" s="14"/>
      <c r="N98" s="14"/>
      <c r="O98" s="14" t="s">
        <v>175</v>
      </c>
      <c r="P98" s="14"/>
      <c r="Q98" s="14"/>
      <c r="R98" s="22" t="s">
        <v>135</v>
      </c>
      <c r="S98" s="22"/>
      <c r="T98" s="16">
        <f>195353.28</f>
        <v>195353.28</v>
      </c>
      <c r="U98" s="16"/>
      <c r="V98" s="16"/>
      <c r="W98" s="16">
        <f>87653.22</f>
        <v>87653.22</v>
      </c>
      <c r="X98" s="16"/>
      <c r="Y98" s="16"/>
      <c r="Z98" s="16"/>
      <c r="AA98" s="16"/>
      <c r="AB98" s="47">
        <f>107700.06</f>
        <v>107700.06</v>
      </c>
      <c r="AC98" s="47"/>
    </row>
    <row r="99" spans="1:29" s="1" customFormat="1" ht="13.5" customHeight="1">
      <c r="A99" s="13" t="s">
        <v>107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95</v>
      </c>
      <c r="M99" s="14"/>
      <c r="N99" s="14"/>
      <c r="O99" s="14" t="s">
        <v>175</v>
      </c>
      <c r="P99" s="14"/>
      <c r="Q99" s="14"/>
      <c r="R99" s="22" t="s">
        <v>108</v>
      </c>
      <c r="S99" s="22"/>
      <c r="T99" s="16">
        <f>649832.4</f>
        <v>649832.4</v>
      </c>
      <c r="U99" s="16"/>
      <c r="V99" s="16"/>
      <c r="W99" s="16">
        <f>198559.5</f>
        <v>198559.5</v>
      </c>
      <c r="X99" s="16"/>
      <c r="Y99" s="16"/>
      <c r="Z99" s="16"/>
      <c r="AA99" s="16"/>
      <c r="AB99" s="47">
        <f>451272.9</f>
        <v>451272.9</v>
      </c>
      <c r="AC99" s="47"/>
    </row>
    <row r="100" spans="1:29" s="1" customFormat="1" ht="13.5" customHeight="1">
      <c r="A100" s="13" t="s">
        <v>138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95</v>
      </c>
      <c r="M100" s="14"/>
      <c r="N100" s="14"/>
      <c r="O100" s="14" t="s">
        <v>175</v>
      </c>
      <c r="P100" s="14"/>
      <c r="Q100" s="14"/>
      <c r="R100" s="22" t="s">
        <v>139</v>
      </c>
      <c r="S100" s="22"/>
      <c r="T100" s="16">
        <f>10167.6</f>
        <v>10167.6</v>
      </c>
      <c r="U100" s="16"/>
      <c r="V100" s="16"/>
      <c r="W100" s="16">
        <f>10167.6</f>
        <v>10167.6</v>
      </c>
      <c r="X100" s="16"/>
      <c r="Y100" s="16"/>
      <c r="Z100" s="16"/>
      <c r="AA100" s="16"/>
      <c r="AB100" s="47">
        <f>0</f>
        <v>0</v>
      </c>
      <c r="AC100" s="47"/>
    </row>
    <row r="101" spans="1:29" s="1" customFormat="1" ht="13.5" customHeight="1">
      <c r="A101" s="13" t="s">
        <v>111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95</v>
      </c>
      <c r="M101" s="14"/>
      <c r="N101" s="14"/>
      <c r="O101" s="14" t="s">
        <v>175</v>
      </c>
      <c r="P101" s="14"/>
      <c r="Q101" s="14"/>
      <c r="R101" s="22" t="s">
        <v>112</v>
      </c>
      <c r="S101" s="22"/>
      <c r="T101" s="16">
        <f>142000</f>
        <v>142000</v>
      </c>
      <c r="U101" s="16"/>
      <c r="V101" s="16"/>
      <c r="W101" s="20" t="s">
        <v>47</v>
      </c>
      <c r="X101" s="20"/>
      <c r="Y101" s="20"/>
      <c r="Z101" s="20"/>
      <c r="AA101" s="20"/>
      <c r="AB101" s="47">
        <f>142000</f>
        <v>142000</v>
      </c>
      <c r="AC101" s="47"/>
    </row>
    <row r="102" spans="1:29" s="1" customFormat="1" ht="13.5" customHeight="1">
      <c r="A102" s="13" t="s">
        <v>131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95</v>
      </c>
      <c r="M102" s="14"/>
      <c r="N102" s="14"/>
      <c r="O102" s="14" t="s">
        <v>176</v>
      </c>
      <c r="P102" s="14"/>
      <c r="Q102" s="14"/>
      <c r="R102" s="22" t="s">
        <v>133</v>
      </c>
      <c r="S102" s="22"/>
      <c r="T102" s="16">
        <f>435000</f>
        <v>435000</v>
      </c>
      <c r="U102" s="16"/>
      <c r="V102" s="16"/>
      <c r="W102" s="16">
        <f>223335.35</f>
        <v>223335.35</v>
      </c>
      <c r="X102" s="16"/>
      <c r="Y102" s="16"/>
      <c r="Z102" s="16"/>
      <c r="AA102" s="16"/>
      <c r="AB102" s="47">
        <f>211664.65</f>
        <v>211664.65</v>
      </c>
      <c r="AC102" s="47"/>
    </row>
    <row r="103" spans="1:29" s="1" customFormat="1" ht="13.5" customHeight="1">
      <c r="A103" s="13" t="s">
        <v>134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95</v>
      </c>
      <c r="M103" s="14"/>
      <c r="N103" s="14"/>
      <c r="O103" s="14" t="s">
        <v>176</v>
      </c>
      <c r="P103" s="14"/>
      <c r="Q103" s="14"/>
      <c r="R103" s="22" t="s">
        <v>135</v>
      </c>
      <c r="S103" s="22"/>
      <c r="T103" s="16">
        <f>1105214.44</f>
        <v>1105214.44</v>
      </c>
      <c r="U103" s="16"/>
      <c r="V103" s="16"/>
      <c r="W103" s="20" t="s">
        <v>47</v>
      </c>
      <c r="X103" s="20"/>
      <c r="Y103" s="20"/>
      <c r="Z103" s="20"/>
      <c r="AA103" s="20"/>
      <c r="AB103" s="47">
        <f>1105214.44</f>
        <v>1105214.44</v>
      </c>
      <c r="AC103" s="47"/>
    </row>
    <row r="104" spans="1:29" s="1" customFormat="1" ht="13.5" customHeight="1">
      <c r="A104" s="13" t="s">
        <v>107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95</v>
      </c>
      <c r="M104" s="14"/>
      <c r="N104" s="14"/>
      <c r="O104" s="14" t="s">
        <v>176</v>
      </c>
      <c r="P104" s="14"/>
      <c r="Q104" s="14"/>
      <c r="R104" s="22" t="s">
        <v>108</v>
      </c>
      <c r="S104" s="22"/>
      <c r="T104" s="16">
        <f>5000</f>
        <v>5000</v>
      </c>
      <c r="U104" s="16"/>
      <c r="V104" s="16"/>
      <c r="W104" s="20" t="s">
        <v>47</v>
      </c>
      <c r="X104" s="20"/>
      <c r="Y104" s="20"/>
      <c r="Z104" s="20"/>
      <c r="AA104" s="20"/>
      <c r="AB104" s="47">
        <f>5000</f>
        <v>5000</v>
      </c>
      <c r="AC104" s="47"/>
    </row>
    <row r="105" spans="1:29" s="1" customFormat="1" ht="13.5" customHeight="1">
      <c r="A105" s="13" t="s">
        <v>138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95</v>
      </c>
      <c r="M105" s="14"/>
      <c r="N105" s="14"/>
      <c r="O105" s="14" t="s">
        <v>176</v>
      </c>
      <c r="P105" s="14"/>
      <c r="Q105" s="14"/>
      <c r="R105" s="22" t="s">
        <v>139</v>
      </c>
      <c r="S105" s="22"/>
      <c r="T105" s="16">
        <f>20000</f>
        <v>20000</v>
      </c>
      <c r="U105" s="16"/>
      <c r="V105" s="16"/>
      <c r="W105" s="20" t="s">
        <v>47</v>
      </c>
      <c r="X105" s="20"/>
      <c r="Y105" s="20"/>
      <c r="Z105" s="20"/>
      <c r="AA105" s="20"/>
      <c r="AB105" s="47">
        <f>20000</f>
        <v>20000</v>
      </c>
      <c r="AC105" s="47"/>
    </row>
    <row r="106" spans="1:29" s="1" customFormat="1" ht="13.5" customHeight="1">
      <c r="A106" s="13" t="s">
        <v>134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95</v>
      </c>
      <c r="M106" s="14"/>
      <c r="N106" s="14"/>
      <c r="O106" s="14" t="s">
        <v>177</v>
      </c>
      <c r="P106" s="14"/>
      <c r="Q106" s="14"/>
      <c r="R106" s="22" t="s">
        <v>135</v>
      </c>
      <c r="S106" s="22"/>
      <c r="T106" s="16">
        <f>200000</f>
        <v>200000</v>
      </c>
      <c r="U106" s="16"/>
      <c r="V106" s="16"/>
      <c r="W106" s="20" t="s">
        <v>47</v>
      </c>
      <c r="X106" s="20"/>
      <c r="Y106" s="20"/>
      <c r="Z106" s="20"/>
      <c r="AA106" s="20"/>
      <c r="AB106" s="47">
        <f>200000</f>
        <v>200000</v>
      </c>
      <c r="AC106" s="47"/>
    </row>
    <row r="107" spans="1:29" s="1" customFormat="1" ht="13.5" customHeight="1">
      <c r="A107" s="13" t="s">
        <v>107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95</v>
      </c>
      <c r="M107" s="14"/>
      <c r="N107" s="14"/>
      <c r="O107" s="14" t="s">
        <v>177</v>
      </c>
      <c r="P107" s="14"/>
      <c r="Q107" s="14"/>
      <c r="R107" s="22" t="s">
        <v>108</v>
      </c>
      <c r="S107" s="22"/>
      <c r="T107" s="16">
        <f>10000</f>
        <v>10000</v>
      </c>
      <c r="U107" s="16"/>
      <c r="V107" s="16"/>
      <c r="W107" s="20" t="s">
        <v>47</v>
      </c>
      <c r="X107" s="20"/>
      <c r="Y107" s="20"/>
      <c r="Z107" s="20"/>
      <c r="AA107" s="20"/>
      <c r="AB107" s="47">
        <f>10000</f>
        <v>10000</v>
      </c>
      <c r="AC107" s="47"/>
    </row>
    <row r="108" spans="1:29" s="1" customFormat="1" ht="13.5" customHeight="1">
      <c r="A108" s="13" t="s">
        <v>111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95</v>
      </c>
      <c r="M108" s="14"/>
      <c r="N108" s="14"/>
      <c r="O108" s="14" t="s">
        <v>177</v>
      </c>
      <c r="P108" s="14"/>
      <c r="Q108" s="14"/>
      <c r="R108" s="22" t="s">
        <v>112</v>
      </c>
      <c r="S108" s="22"/>
      <c r="T108" s="16">
        <f>285000</f>
        <v>285000</v>
      </c>
      <c r="U108" s="16"/>
      <c r="V108" s="16"/>
      <c r="W108" s="16">
        <f>99994</f>
        <v>99994</v>
      </c>
      <c r="X108" s="16"/>
      <c r="Y108" s="16"/>
      <c r="Z108" s="16"/>
      <c r="AA108" s="16"/>
      <c r="AB108" s="47">
        <f>185006</f>
        <v>185006</v>
      </c>
      <c r="AC108" s="47"/>
    </row>
    <row r="109" spans="1:29" s="1" customFormat="1" ht="13.5" customHeight="1">
      <c r="A109" s="13" t="s">
        <v>134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95</v>
      </c>
      <c r="M109" s="14"/>
      <c r="N109" s="14"/>
      <c r="O109" s="14" t="s">
        <v>178</v>
      </c>
      <c r="P109" s="14"/>
      <c r="Q109" s="14"/>
      <c r="R109" s="22" t="s">
        <v>135</v>
      </c>
      <c r="S109" s="22"/>
      <c r="T109" s="16">
        <f>81385.02</f>
        <v>81385.02</v>
      </c>
      <c r="U109" s="16"/>
      <c r="V109" s="16"/>
      <c r="W109" s="16">
        <f>40692</f>
        <v>40692</v>
      </c>
      <c r="X109" s="16"/>
      <c r="Y109" s="16"/>
      <c r="Z109" s="16"/>
      <c r="AA109" s="16"/>
      <c r="AB109" s="47">
        <f>40693.02</f>
        <v>40693.02</v>
      </c>
      <c r="AC109" s="47"/>
    </row>
    <row r="110" spans="1:29" s="1" customFormat="1" ht="13.5" customHeight="1">
      <c r="A110" s="13" t="s">
        <v>96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95</v>
      </c>
      <c r="M110" s="14"/>
      <c r="N110" s="14"/>
      <c r="O110" s="14" t="s">
        <v>179</v>
      </c>
      <c r="P110" s="14"/>
      <c r="Q110" s="14"/>
      <c r="R110" s="22" t="s">
        <v>98</v>
      </c>
      <c r="S110" s="22"/>
      <c r="T110" s="16">
        <f>864.29</f>
        <v>864.29</v>
      </c>
      <c r="U110" s="16"/>
      <c r="V110" s="16"/>
      <c r="W110" s="20" t="s">
        <v>47</v>
      </c>
      <c r="X110" s="20"/>
      <c r="Y110" s="20"/>
      <c r="Z110" s="20"/>
      <c r="AA110" s="20"/>
      <c r="AB110" s="47">
        <f>864.29</f>
        <v>864.29</v>
      </c>
      <c r="AC110" s="47"/>
    </row>
    <row r="111" spans="1:29" s="1" customFormat="1" ht="13.5" customHeight="1">
      <c r="A111" s="13" t="s">
        <v>99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95</v>
      </c>
      <c r="M111" s="14"/>
      <c r="N111" s="14"/>
      <c r="O111" s="14" t="s">
        <v>180</v>
      </c>
      <c r="P111" s="14"/>
      <c r="Q111" s="14"/>
      <c r="R111" s="22" t="s">
        <v>101</v>
      </c>
      <c r="S111" s="22"/>
      <c r="T111" s="16">
        <f>226.19</f>
        <v>226.19</v>
      </c>
      <c r="U111" s="16"/>
      <c r="V111" s="16"/>
      <c r="W111" s="20" t="s">
        <v>47</v>
      </c>
      <c r="X111" s="20"/>
      <c r="Y111" s="20"/>
      <c r="Z111" s="20"/>
      <c r="AA111" s="20"/>
      <c r="AB111" s="47">
        <f>226.19</f>
        <v>226.19</v>
      </c>
      <c r="AC111" s="47"/>
    </row>
    <row r="112" spans="1:29" s="1" customFormat="1" ht="13.5" customHeight="1">
      <c r="A112" s="13" t="s">
        <v>111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95</v>
      </c>
      <c r="M112" s="14"/>
      <c r="N112" s="14"/>
      <c r="O112" s="14" t="s">
        <v>181</v>
      </c>
      <c r="P112" s="14"/>
      <c r="Q112" s="14"/>
      <c r="R112" s="22" t="s">
        <v>112</v>
      </c>
      <c r="S112" s="22"/>
      <c r="T112" s="16">
        <f>10000</f>
        <v>10000</v>
      </c>
      <c r="U112" s="16"/>
      <c r="V112" s="16"/>
      <c r="W112" s="20" t="s">
        <v>47</v>
      </c>
      <c r="X112" s="20"/>
      <c r="Y112" s="20"/>
      <c r="Z112" s="20"/>
      <c r="AA112" s="20"/>
      <c r="AB112" s="47">
        <f>10000</f>
        <v>10000</v>
      </c>
      <c r="AC112" s="47"/>
    </row>
    <row r="113" spans="1:29" s="1" customFormat="1" ht="13.5" customHeight="1">
      <c r="A113" s="13" t="s">
        <v>96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95</v>
      </c>
      <c r="M113" s="14"/>
      <c r="N113" s="14"/>
      <c r="O113" s="14" t="s">
        <v>182</v>
      </c>
      <c r="P113" s="14"/>
      <c r="Q113" s="14"/>
      <c r="R113" s="22" t="s">
        <v>98</v>
      </c>
      <c r="S113" s="22"/>
      <c r="T113" s="16">
        <f>4768844.61</f>
        <v>4768844.61</v>
      </c>
      <c r="U113" s="16"/>
      <c r="V113" s="16"/>
      <c r="W113" s="16">
        <f>2591549.12</f>
        <v>2591549.12</v>
      </c>
      <c r="X113" s="16"/>
      <c r="Y113" s="16"/>
      <c r="Z113" s="16"/>
      <c r="AA113" s="16"/>
      <c r="AB113" s="47">
        <f>2177295.49</f>
        <v>2177295.49</v>
      </c>
      <c r="AC113" s="47"/>
    </row>
    <row r="114" spans="1:29" s="1" customFormat="1" ht="13.5" customHeight="1">
      <c r="A114" s="13" t="s">
        <v>169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95</v>
      </c>
      <c r="M114" s="14"/>
      <c r="N114" s="14"/>
      <c r="O114" s="14" t="s">
        <v>183</v>
      </c>
      <c r="P114" s="14"/>
      <c r="Q114" s="14"/>
      <c r="R114" s="22" t="s">
        <v>171</v>
      </c>
      <c r="S114" s="22"/>
      <c r="T114" s="16">
        <f>25000</f>
        <v>25000</v>
      </c>
      <c r="U114" s="16"/>
      <c r="V114" s="16"/>
      <c r="W114" s="20" t="s">
        <v>47</v>
      </c>
      <c r="X114" s="20"/>
      <c r="Y114" s="20"/>
      <c r="Z114" s="20"/>
      <c r="AA114" s="20"/>
      <c r="AB114" s="47">
        <f>25000</f>
        <v>25000</v>
      </c>
      <c r="AC114" s="47"/>
    </row>
    <row r="115" spans="1:29" s="1" customFormat="1" ht="13.5" customHeight="1">
      <c r="A115" s="13" t="s">
        <v>146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95</v>
      </c>
      <c r="M115" s="14"/>
      <c r="N115" s="14"/>
      <c r="O115" s="14" t="s">
        <v>183</v>
      </c>
      <c r="P115" s="14"/>
      <c r="Q115" s="14"/>
      <c r="R115" s="22" t="s">
        <v>148</v>
      </c>
      <c r="S115" s="22"/>
      <c r="T115" s="16">
        <f>107573.46</f>
        <v>107573.46</v>
      </c>
      <c r="U115" s="16"/>
      <c r="V115" s="16"/>
      <c r="W115" s="16">
        <f>74125.12</f>
        <v>74125.12</v>
      </c>
      <c r="X115" s="16"/>
      <c r="Y115" s="16"/>
      <c r="Z115" s="16"/>
      <c r="AA115" s="16"/>
      <c r="AB115" s="47">
        <f>33448.34</f>
        <v>33448.34</v>
      </c>
      <c r="AC115" s="47"/>
    </row>
    <row r="116" spans="1:29" s="1" customFormat="1" ht="13.5" customHeight="1">
      <c r="A116" s="13" t="s">
        <v>99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95</v>
      </c>
      <c r="M116" s="14"/>
      <c r="N116" s="14"/>
      <c r="O116" s="14" t="s">
        <v>184</v>
      </c>
      <c r="P116" s="14"/>
      <c r="Q116" s="14"/>
      <c r="R116" s="22" t="s">
        <v>101</v>
      </c>
      <c r="S116" s="22"/>
      <c r="T116" s="16">
        <f>1424505.4</f>
        <v>1424505.4</v>
      </c>
      <c r="U116" s="16"/>
      <c r="V116" s="16"/>
      <c r="W116" s="16">
        <f>882960</f>
        <v>882960</v>
      </c>
      <c r="X116" s="16"/>
      <c r="Y116" s="16"/>
      <c r="Z116" s="16"/>
      <c r="AA116" s="16"/>
      <c r="AB116" s="47">
        <f>541545.4</f>
        <v>541545.4</v>
      </c>
      <c r="AC116" s="47"/>
    </row>
    <row r="117" spans="1:29" s="1" customFormat="1" ht="13.5" customHeight="1">
      <c r="A117" s="13" t="s">
        <v>104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 t="s">
        <v>95</v>
      </c>
      <c r="M117" s="14"/>
      <c r="N117" s="14"/>
      <c r="O117" s="14" t="s">
        <v>185</v>
      </c>
      <c r="P117" s="14"/>
      <c r="Q117" s="14"/>
      <c r="R117" s="22" t="s">
        <v>106</v>
      </c>
      <c r="S117" s="22"/>
      <c r="T117" s="16">
        <f>44898.74</f>
        <v>44898.74</v>
      </c>
      <c r="U117" s="16"/>
      <c r="V117" s="16"/>
      <c r="W117" s="16">
        <f>18765.53</f>
        <v>18765.53</v>
      </c>
      <c r="X117" s="16"/>
      <c r="Y117" s="16"/>
      <c r="Z117" s="16"/>
      <c r="AA117" s="16"/>
      <c r="AB117" s="47">
        <f>26133.21</f>
        <v>26133.21</v>
      </c>
      <c r="AC117" s="47"/>
    </row>
    <row r="118" spans="1:29" s="1" customFormat="1" ht="13.5" customHeight="1">
      <c r="A118" s="13" t="s">
        <v>152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 t="s">
        <v>95</v>
      </c>
      <c r="M118" s="14"/>
      <c r="N118" s="14"/>
      <c r="O118" s="14" t="s">
        <v>185</v>
      </c>
      <c r="P118" s="14"/>
      <c r="Q118" s="14"/>
      <c r="R118" s="22" t="s">
        <v>154</v>
      </c>
      <c r="S118" s="22"/>
      <c r="T118" s="16">
        <f>20000</f>
        <v>20000</v>
      </c>
      <c r="U118" s="16"/>
      <c r="V118" s="16"/>
      <c r="W118" s="16">
        <f>20000</f>
        <v>20000</v>
      </c>
      <c r="X118" s="16"/>
      <c r="Y118" s="16"/>
      <c r="Z118" s="16"/>
      <c r="AA118" s="16"/>
      <c r="AB118" s="47">
        <f>0</f>
        <v>0</v>
      </c>
      <c r="AC118" s="47"/>
    </row>
    <row r="119" spans="1:29" s="1" customFormat="1" ht="13.5" customHeight="1">
      <c r="A119" s="13" t="s">
        <v>131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 t="s">
        <v>95</v>
      </c>
      <c r="M119" s="14"/>
      <c r="N119" s="14"/>
      <c r="O119" s="14" t="s">
        <v>185</v>
      </c>
      <c r="P119" s="14"/>
      <c r="Q119" s="14"/>
      <c r="R119" s="22" t="s">
        <v>133</v>
      </c>
      <c r="S119" s="22"/>
      <c r="T119" s="16">
        <f>898239.22</f>
        <v>898239.22</v>
      </c>
      <c r="U119" s="16"/>
      <c r="V119" s="16"/>
      <c r="W119" s="16">
        <f>377026.67</f>
        <v>377026.67</v>
      </c>
      <c r="X119" s="16"/>
      <c r="Y119" s="16"/>
      <c r="Z119" s="16"/>
      <c r="AA119" s="16"/>
      <c r="AB119" s="47">
        <f>521212.55</f>
        <v>521212.55</v>
      </c>
      <c r="AC119" s="47"/>
    </row>
    <row r="120" spans="1:29" s="1" customFormat="1" ht="13.5" customHeight="1">
      <c r="A120" s="13" t="s">
        <v>134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 t="s">
        <v>95</v>
      </c>
      <c r="M120" s="14"/>
      <c r="N120" s="14"/>
      <c r="O120" s="14" t="s">
        <v>185</v>
      </c>
      <c r="P120" s="14"/>
      <c r="Q120" s="14"/>
      <c r="R120" s="22" t="s">
        <v>135</v>
      </c>
      <c r="S120" s="22"/>
      <c r="T120" s="16">
        <f>2374779.71</f>
        <v>2374779.71</v>
      </c>
      <c r="U120" s="16"/>
      <c r="V120" s="16"/>
      <c r="W120" s="16">
        <f>1169291.12</f>
        <v>1169291.12</v>
      </c>
      <c r="X120" s="16"/>
      <c r="Y120" s="16"/>
      <c r="Z120" s="16"/>
      <c r="AA120" s="16"/>
      <c r="AB120" s="47">
        <f>1205488.59</f>
        <v>1205488.59</v>
      </c>
      <c r="AC120" s="47"/>
    </row>
    <row r="121" spans="1:29" s="1" customFormat="1" ht="13.5" customHeight="1">
      <c r="A121" s="13" t="s">
        <v>107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 t="s">
        <v>95</v>
      </c>
      <c r="M121" s="14"/>
      <c r="N121" s="14"/>
      <c r="O121" s="14" t="s">
        <v>185</v>
      </c>
      <c r="P121" s="14"/>
      <c r="Q121" s="14"/>
      <c r="R121" s="22" t="s">
        <v>108</v>
      </c>
      <c r="S121" s="22"/>
      <c r="T121" s="16">
        <f>1692747</f>
        <v>1692747</v>
      </c>
      <c r="U121" s="16"/>
      <c r="V121" s="16"/>
      <c r="W121" s="16">
        <f>828318</f>
        <v>828318</v>
      </c>
      <c r="X121" s="16"/>
      <c r="Y121" s="16"/>
      <c r="Z121" s="16"/>
      <c r="AA121" s="16"/>
      <c r="AB121" s="47">
        <f>864429</f>
        <v>864429</v>
      </c>
      <c r="AC121" s="47"/>
    </row>
    <row r="122" spans="1:29" s="1" customFormat="1" ht="13.5" customHeight="1">
      <c r="A122" s="13" t="s">
        <v>138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 t="s">
        <v>95</v>
      </c>
      <c r="M122" s="14"/>
      <c r="N122" s="14"/>
      <c r="O122" s="14" t="s">
        <v>185</v>
      </c>
      <c r="P122" s="14"/>
      <c r="Q122" s="14"/>
      <c r="R122" s="22" t="s">
        <v>139</v>
      </c>
      <c r="S122" s="22"/>
      <c r="T122" s="16">
        <f>28000</f>
        <v>28000</v>
      </c>
      <c r="U122" s="16"/>
      <c r="V122" s="16"/>
      <c r="W122" s="20" t="s">
        <v>47</v>
      </c>
      <c r="X122" s="20"/>
      <c r="Y122" s="20"/>
      <c r="Z122" s="20"/>
      <c r="AA122" s="20"/>
      <c r="AB122" s="47">
        <f>28000</f>
        <v>28000</v>
      </c>
      <c r="AC122" s="47"/>
    </row>
    <row r="123" spans="1:29" s="1" customFormat="1" ht="13.5" customHeight="1">
      <c r="A123" s="13" t="s">
        <v>109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 t="s">
        <v>95</v>
      </c>
      <c r="M123" s="14"/>
      <c r="N123" s="14"/>
      <c r="O123" s="14" t="s">
        <v>185</v>
      </c>
      <c r="P123" s="14"/>
      <c r="Q123" s="14"/>
      <c r="R123" s="22" t="s">
        <v>110</v>
      </c>
      <c r="S123" s="22"/>
      <c r="T123" s="16">
        <f>20000</f>
        <v>20000</v>
      </c>
      <c r="U123" s="16"/>
      <c r="V123" s="16"/>
      <c r="W123" s="16">
        <f>12845</f>
        <v>12845</v>
      </c>
      <c r="X123" s="16"/>
      <c r="Y123" s="16"/>
      <c r="Z123" s="16"/>
      <c r="AA123" s="16"/>
      <c r="AB123" s="47">
        <f>7155</f>
        <v>7155</v>
      </c>
      <c r="AC123" s="47"/>
    </row>
    <row r="124" spans="1:29" s="1" customFormat="1" ht="13.5" customHeight="1">
      <c r="A124" s="13" t="s">
        <v>186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 t="s">
        <v>95</v>
      </c>
      <c r="M124" s="14"/>
      <c r="N124" s="14"/>
      <c r="O124" s="14" t="s">
        <v>185</v>
      </c>
      <c r="P124" s="14"/>
      <c r="Q124" s="14"/>
      <c r="R124" s="22" t="s">
        <v>187</v>
      </c>
      <c r="S124" s="22"/>
      <c r="T124" s="16">
        <f>172000</f>
        <v>172000</v>
      </c>
      <c r="U124" s="16"/>
      <c r="V124" s="16"/>
      <c r="W124" s="20" t="s">
        <v>47</v>
      </c>
      <c r="X124" s="20"/>
      <c r="Y124" s="20"/>
      <c r="Z124" s="20"/>
      <c r="AA124" s="20"/>
      <c r="AB124" s="47">
        <f>172000</f>
        <v>172000</v>
      </c>
      <c r="AC124" s="47"/>
    </row>
    <row r="125" spans="1:29" s="1" customFormat="1" ht="13.5" customHeight="1">
      <c r="A125" s="13" t="s">
        <v>111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95</v>
      </c>
      <c r="M125" s="14"/>
      <c r="N125" s="14"/>
      <c r="O125" s="14" t="s">
        <v>185</v>
      </c>
      <c r="P125" s="14"/>
      <c r="Q125" s="14"/>
      <c r="R125" s="22" t="s">
        <v>112</v>
      </c>
      <c r="S125" s="22"/>
      <c r="T125" s="16">
        <f>301150</f>
        <v>301150</v>
      </c>
      <c r="U125" s="16"/>
      <c r="V125" s="16"/>
      <c r="W125" s="16">
        <f>85200</f>
        <v>85200</v>
      </c>
      <c r="X125" s="16"/>
      <c r="Y125" s="16"/>
      <c r="Z125" s="16"/>
      <c r="AA125" s="16"/>
      <c r="AB125" s="47">
        <f>215950</f>
        <v>215950</v>
      </c>
      <c r="AC125" s="47"/>
    </row>
    <row r="126" spans="1:29" s="1" customFormat="1" ht="13.5" customHeight="1">
      <c r="A126" s="13" t="s">
        <v>113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 t="s">
        <v>95</v>
      </c>
      <c r="M126" s="14"/>
      <c r="N126" s="14"/>
      <c r="O126" s="14" t="s">
        <v>185</v>
      </c>
      <c r="P126" s="14"/>
      <c r="Q126" s="14"/>
      <c r="R126" s="22" t="s">
        <v>114</v>
      </c>
      <c r="S126" s="22"/>
      <c r="T126" s="16">
        <f>64474.16</f>
        <v>64474.16</v>
      </c>
      <c r="U126" s="16"/>
      <c r="V126" s="16"/>
      <c r="W126" s="16">
        <f>50372</f>
        <v>50372</v>
      </c>
      <c r="X126" s="16"/>
      <c r="Y126" s="16"/>
      <c r="Z126" s="16"/>
      <c r="AA126" s="16"/>
      <c r="AB126" s="47">
        <f>14102.16</f>
        <v>14102.16</v>
      </c>
      <c r="AC126" s="47"/>
    </row>
    <row r="127" spans="1:29" s="1" customFormat="1" ht="13.5" customHeight="1">
      <c r="A127" s="13" t="s">
        <v>188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 t="s">
        <v>95</v>
      </c>
      <c r="M127" s="14"/>
      <c r="N127" s="14"/>
      <c r="O127" s="14" t="s">
        <v>189</v>
      </c>
      <c r="P127" s="14"/>
      <c r="Q127" s="14"/>
      <c r="R127" s="22" t="s">
        <v>190</v>
      </c>
      <c r="S127" s="22"/>
      <c r="T127" s="16">
        <f>40000</f>
        <v>40000</v>
      </c>
      <c r="U127" s="16"/>
      <c r="V127" s="16"/>
      <c r="W127" s="20" t="s">
        <v>47</v>
      </c>
      <c r="X127" s="20"/>
      <c r="Y127" s="20"/>
      <c r="Z127" s="20"/>
      <c r="AA127" s="20"/>
      <c r="AB127" s="47">
        <f>40000</f>
        <v>40000</v>
      </c>
      <c r="AC127" s="47"/>
    </row>
    <row r="128" spans="1:29" s="1" customFormat="1" ht="13.5" customHeight="1">
      <c r="A128" s="13" t="s">
        <v>115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95</v>
      </c>
      <c r="M128" s="14"/>
      <c r="N128" s="14"/>
      <c r="O128" s="14" t="s">
        <v>191</v>
      </c>
      <c r="P128" s="14"/>
      <c r="Q128" s="14"/>
      <c r="R128" s="22" t="s">
        <v>117</v>
      </c>
      <c r="S128" s="22"/>
      <c r="T128" s="16">
        <f>220000</f>
        <v>220000</v>
      </c>
      <c r="U128" s="16"/>
      <c r="V128" s="16"/>
      <c r="W128" s="16">
        <f>42343</f>
        <v>42343</v>
      </c>
      <c r="X128" s="16"/>
      <c r="Y128" s="16"/>
      <c r="Z128" s="16"/>
      <c r="AA128" s="16"/>
      <c r="AB128" s="47">
        <f>177657</f>
        <v>177657</v>
      </c>
      <c r="AC128" s="47"/>
    </row>
    <row r="129" spans="1:29" s="1" customFormat="1" ht="13.5" customHeight="1">
      <c r="A129" s="13" t="s">
        <v>118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 t="s">
        <v>95</v>
      </c>
      <c r="M129" s="14"/>
      <c r="N129" s="14"/>
      <c r="O129" s="14" t="s">
        <v>192</v>
      </c>
      <c r="P129" s="14"/>
      <c r="Q129" s="14"/>
      <c r="R129" s="22" t="s">
        <v>120</v>
      </c>
      <c r="S129" s="22"/>
      <c r="T129" s="16">
        <f>13300</f>
        <v>13300</v>
      </c>
      <c r="U129" s="16"/>
      <c r="V129" s="16"/>
      <c r="W129" s="16">
        <f>2754.43</f>
        <v>2754.43</v>
      </c>
      <c r="X129" s="16"/>
      <c r="Y129" s="16"/>
      <c r="Z129" s="16"/>
      <c r="AA129" s="16"/>
      <c r="AB129" s="47">
        <f>10545.57</f>
        <v>10545.57</v>
      </c>
      <c r="AC129" s="47"/>
    </row>
    <row r="130" spans="1:29" s="1" customFormat="1" ht="13.5" customHeight="1">
      <c r="A130" s="13" t="s">
        <v>138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 t="s">
        <v>95</v>
      </c>
      <c r="M130" s="14"/>
      <c r="N130" s="14"/>
      <c r="O130" s="14" t="s">
        <v>193</v>
      </c>
      <c r="P130" s="14"/>
      <c r="Q130" s="14"/>
      <c r="R130" s="22" t="s">
        <v>139</v>
      </c>
      <c r="S130" s="22"/>
      <c r="T130" s="16">
        <f>300000</f>
        <v>300000</v>
      </c>
      <c r="U130" s="16"/>
      <c r="V130" s="16"/>
      <c r="W130" s="20" t="s">
        <v>47</v>
      </c>
      <c r="X130" s="20"/>
      <c r="Y130" s="20"/>
      <c r="Z130" s="20"/>
      <c r="AA130" s="20"/>
      <c r="AB130" s="47">
        <f>300000</f>
        <v>300000</v>
      </c>
      <c r="AC130" s="47"/>
    </row>
    <row r="131" spans="1:29" s="1" customFormat="1" ht="13.5" customHeight="1">
      <c r="A131" s="13" t="s">
        <v>138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95</v>
      </c>
      <c r="M131" s="14"/>
      <c r="N131" s="14"/>
      <c r="O131" s="14" t="s">
        <v>194</v>
      </c>
      <c r="P131" s="14"/>
      <c r="Q131" s="14"/>
      <c r="R131" s="22" t="s">
        <v>139</v>
      </c>
      <c r="S131" s="22"/>
      <c r="T131" s="16">
        <f>500000</f>
        <v>500000</v>
      </c>
      <c r="U131" s="16"/>
      <c r="V131" s="16"/>
      <c r="W131" s="20" t="s">
        <v>47</v>
      </c>
      <c r="X131" s="20"/>
      <c r="Y131" s="20"/>
      <c r="Z131" s="20"/>
      <c r="AA131" s="20"/>
      <c r="AB131" s="47">
        <f>500000</f>
        <v>500000</v>
      </c>
      <c r="AC131" s="47"/>
    </row>
    <row r="132" spans="1:29" s="1" customFormat="1" ht="13.5" customHeight="1">
      <c r="A132" s="13" t="s">
        <v>138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 t="s">
        <v>95</v>
      </c>
      <c r="M132" s="14"/>
      <c r="N132" s="14"/>
      <c r="O132" s="14" t="s">
        <v>195</v>
      </c>
      <c r="P132" s="14"/>
      <c r="Q132" s="14"/>
      <c r="R132" s="22" t="s">
        <v>139</v>
      </c>
      <c r="S132" s="22"/>
      <c r="T132" s="16">
        <f>15000</f>
        <v>15000</v>
      </c>
      <c r="U132" s="16"/>
      <c r="V132" s="16"/>
      <c r="W132" s="20" t="s">
        <v>47</v>
      </c>
      <c r="X132" s="20"/>
      <c r="Y132" s="20"/>
      <c r="Z132" s="20"/>
      <c r="AA132" s="20"/>
      <c r="AB132" s="47">
        <f>15000</f>
        <v>15000</v>
      </c>
      <c r="AC132" s="47"/>
    </row>
    <row r="133" spans="1:29" s="1" customFormat="1" ht="13.5" customHeight="1">
      <c r="A133" s="13" t="s">
        <v>188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 t="s">
        <v>95</v>
      </c>
      <c r="M133" s="14"/>
      <c r="N133" s="14"/>
      <c r="O133" s="14" t="s">
        <v>196</v>
      </c>
      <c r="P133" s="14"/>
      <c r="Q133" s="14"/>
      <c r="R133" s="22" t="s">
        <v>190</v>
      </c>
      <c r="S133" s="22"/>
      <c r="T133" s="16">
        <f>300000</f>
        <v>300000</v>
      </c>
      <c r="U133" s="16"/>
      <c r="V133" s="16"/>
      <c r="W133" s="16">
        <f>150000</f>
        <v>150000</v>
      </c>
      <c r="X133" s="16"/>
      <c r="Y133" s="16"/>
      <c r="Z133" s="16"/>
      <c r="AA133" s="16"/>
      <c r="AB133" s="47">
        <f>150000</f>
        <v>150000</v>
      </c>
      <c r="AC133" s="47"/>
    </row>
    <row r="134" spans="1:29" s="1" customFormat="1" ht="13.5" customHeight="1">
      <c r="A134" s="13" t="s">
        <v>197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 t="s">
        <v>95</v>
      </c>
      <c r="M134" s="14"/>
      <c r="N134" s="14"/>
      <c r="O134" s="14" t="s">
        <v>198</v>
      </c>
      <c r="P134" s="14"/>
      <c r="Q134" s="14"/>
      <c r="R134" s="22" t="s">
        <v>199</v>
      </c>
      <c r="S134" s="22"/>
      <c r="T134" s="16">
        <f>40000</f>
        <v>40000</v>
      </c>
      <c r="U134" s="16"/>
      <c r="V134" s="16"/>
      <c r="W134" s="20" t="s">
        <v>47</v>
      </c>
      <c r="X134" s="20"/>
      <c r="Y134" s="20"/>
      <c r="Z134" s="20"/>
      <c r="AA134" s="20"/>
      <c r="AB134" s="47">
        <f>40000</f>
        <v>40000</v>
      </c>
      <c r="AC134" s="47"/>
    </row>
    <row r="135" spans="1:29" s="1" customFormat="1" ht="13.5" customHeight="1">
      <c r="A135" s="13" t="s">
        <v>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 t="s">
        <v>95</v>
      </c>
      <c r="M135" s="14"/>
      <c r="N135" s="14"/>
      <c r="O135" s="14" t="s">
        <v>200</v>
      </c>
      <c r="P135" s="14"/>
      <c r="Q135" s="14"/>
      <c r="R135" s="22" t="s">
        <v>98</v>
      </c>
      <c r="S135" s="22"/>
      <c r="T135" s="16">
        <f>2240027</f>
        <v>2240027</v>
      </c>
      <c r="U135" s="16"/>
      <c r="V135" s="16"/>
      <c r="W135" s="16">
        <f>899842.07</f>
        <v>899842.07</v>
      </c>
      <c r="X135" s="16"/>
      <c r="Y135" s="16"/>
      <c r="Z135" s="16"/>
      <c r="AA135" s="16"/>
      <c r="AB135" s="47">
        <f>1340184.93</f>
        <v>1340184.93</v>
      </c>
      <c r="AC135" s="47"/>
    </row>
    <row r="136" spans="1:29" s="1" customFormat="1" ht="13.5" customHeight="1">
      <c r="A136" s="13" t="s">
        <v>146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 t="s">
        <v>95</v>
      </c>
      <c r="M136" s="14"/>
      <c r="N136" s="14"/>
      <c r="O136" s="14" t="s">
        <v>201</v>
      </c>
      <c r="P136" s="14"/>
      <c r="Q136" s="14"/>
      <c r="R136" s="22" t="s">
        <v>148</v>
      </c>
      <c r="S136" s="22"/>
      <c r="T136" s="16">
        <f>161586</f>
        <v>161586</v>
      </c>
      <c r="U136" s="16"/>
      <c r="V136" s="16"/>
      <c r="W136" s="20" t="s">
        <v>47</v>
      </c>
      <c r="X136" s="20"/>
      <c r="Y136" s="20"/>
      <c r="Z136" s="20"/>
      <c r="AA136" s="20"/>
      <c r="AB136" s="47">
        <f>161586</f>
        <v>161586</v>
      </c>
      <c r="AC136" s="47"/>
    </row>
    <row r="137" spans="1:29" s="1" customFormat="1" ht="13.5" customHeight="1">
      <c r="A137" s="13" t="s">
        <v>99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 t="s">
        <v>95</v>
      </c>
      <c r="M137" s="14"/>
      <c r="N137" s="14"/>
      <c r="O137" s="14" t="s">
        <v>202</v>
      </c>
      <c r="P137" s="14"/>
      <c r="Q137" s="14"/>
      <c r="R137" s="22" t="s">
        <v>101</v>
      </c>
      <c r="S137" s="22"/>
      <c r="T137" s="16">
        <f>666420.15</f>
        <v>666420.15</v>
      </c>
      <c r="U137" s="16"/>
      <c r="V137" s="16"/>
      <c r="W137" s="16">
        <f>252349.21</f>
        <v>252349.21</v>
      </c>
      <c r="X137" s="16"/>
      <c r="Y137" s="16"/>
      <c r="Z137" s="16"/>
      <c r="AA137" s="16"/>
      <c r="AB137" s="47">
        <f>414070.94</f>
        <v>414070.94</v>
      </c>
      <c r="AC137" s="47"/>
    </row>
    <row r="138" spans="1:29" s="1" customFormat="1" ht="13.5" customHeight="1">
      <c r="A138" s="13" t="s">
        <v>104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 t="s">
        <v>95</v>
      </c>
      <c r="M138" s="14"/>
      <c r="N138" s="14"/>
      <c r="O138" s="14" t="s">
        <v>203</v>
      </c>
      <c r="P138" s="14"/>
      <c r="Q138" s="14"/>
      <c r="R138" s="22" t="s">
        <v>106</v>
      </c>
      <c r="S138" s="22"/>
      <c r="T138" s="16">
        <f>42000</f>
        <v>42000</v>
      </c>
      <c r="U138" s="16"/>
      <c r="V138" s="16"/>
      <c r="W138" s="16">
        <f>14835.67</f>
        <v>14835.67</v>
      </c>
      <c r="X138" s="16"/>
      <c r="Y138" s="16"/>
      <c r="Z138" s="16"/>
      <c r="AA138" s="16"/>
      <c r="AB138" s="47">
        <f>27164.33</f>
        <v>27164.33</v>
      </c>
      <c r="AC138" s="47"/>
    </row>
    <row r="139" spans="1:29" s="1" customFormat="1" ht="13.5" customHeight="1">
      <c r="A139" s="13" t="s">
        <v>152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 t="s">
        <v>95</v>
      </c>
      <c r="M139" s="14"/>
      <c r="N139" s="14"/>
      <c r="O139" s="14" t="s">
        <v>203</v>
      </c>
      <c r="P139" s="14"/>
      <c r="Q139" s="14"/>
      <c r="R139" s="22" t="s">
        <v>154</v>
      </c>
      <c r="S139" s="22"/>
      <c r="T139" s="16">
        <f>155471.18</f>
        <v>155471.18</v>
      </c>
      <c r="U139" s="16"/>
      <c r="V139" s="16"/>
      <c r="W139" s="16">
        <f>73100</f>
        <v>73100</v>
      </c>
      <c r="X139" s="16"/>
      <c r="Y139" s="16"/>
      <c r="Z139" s="16"/>
      <c r="AA139" s="16"/>
      <c r="AB139" s="47">
        <f>82371.18</f>
        <v>82371.18</v>
      </c>
      <c r="AC139" s="47"/>
    </row>
    <row r="140" spans="1:29" s="1" customFormat="1" ht="13.5" customHeight="1">
      <c r="A140" s="13" t="s">
        <v>131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 t="s">
        <v>95</v>
      </c>
      <c r="M140" s="14"/>
      <c r="N140" s="14"/>
      <c r="O140" s="14" t="s">
        <v>203</v>
      </c>
      <c r="P140" s="14"/>
      <c r="Q140" s="14"/>
      <c r="R140" s="22" t="s">
        <v>133</v>
      </c>
      <c r="S140" s="22"/>
      <c r="T140" s="16">
        <f>809085.14</f>
        <v>809085.14</v>
      </c>
      <c r="U140" s="16"/>
      <c r="V140" s="16"/>
      <c r="W140" s="16">
        <f>411594.93</f>
        <v>411594.93</v>
      </c>
      <c r="X140" s="16"/>
      <c r="Y140" s="16"/>
      <c r="Z140" s="16"/>
      <c r="AA140" s="16"/>
      <c r="AB140" s="47">
        <f>397490.21</f>
        <v>397490.21</v>
      </c>
      <c r="AC140" s="47"/>
    </row>
    <row r="141" spans="1:29" s="1" customFormat="1" ht="13.5" customHeight="1">
      <c r="A141" s="13" t="s">
        <v>134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 t="s">
        <v>95</v>
      </c>
      <c r="M141" s="14"/>
      <c r="N141" s="14"/>
      <c r="O141" s="14" t="s">
        <v>203</v>
      </c>
      <c r="P141" s="14"/>
      <c r="Q141" s="14"/>
      <c r="R141" s="22" t="s">
        <v>135</v>
      </c>
      <c r="S141" s="22"/>
      <c r="T141" s="16">
        <f>2146762.6</f>
        <v>2146762.6</v>
      </c>
      <c r="U141" s="16"/>
      <c r="V141" s="16"/>
      <c r="W141" s="16">
        <f>1059925.8</f>
        <v>1059925.8</v>
      </c>
      <c r="X141" s="16"/>
      <c r="Y141" s="16"/>
      <c r="Z141" s="16"/>
      <c r="AA141" s="16"/>
      <c r="AB141" s="47">
        <f>1086836.8</f>
        <v>1086836.8</v>
      </c>
      <c r="AC141" s="47"/>
    </row>
    <row r="142" spans="1:29" s="1" customFormat="1" ht="13.5" customHeight="1">
      <c r="A142" s="13" t="s">
        <v>107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 t="s">
        <v>95</v>
      </c>
      <c r="M142" s="14"/>
      <c r="N142" s="14"/>
      <c r="O142" s="14" t="s">
        <v>203</v>
      </c>
      <c r="P142" s="14"/>
      <c r="Q142" s="14"/>
      <c r="R142" s="22" t="s">
        <v>108</v>
      </c>
      <c r="S142" s="22"/>
      <c r="T142" s="16">
        <f>88070</f>
        <v>88070</v>
      </c>
      <c r="U142" s="16"/>
      <c r="V142" s="16"/>
      <c r="W142" s="16">
        <f>54000</f>
        <v>54000</v>
      </c>
      <c r="X142" s="16"/>
      <c r="Y142" s="16"/>
      <c r="Z142" s="16"/>
      <c r="AA142" s="16"/>
      <c r="AB142" s="47">
        <f>34070</f>
        <v>34070</v>
      </c>
      <c r="AC142" s="47"/>
    </row>
    <row r="143" spans="1:29" s="1" customFormat="1" ht="13.5" customHeight="1">
      <c r="A143" s="13" t="s">
        <v>138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 t="s">
        <v>95</v>
      </c>
      <c r="M143" s="14"/>
      <c r="N143" s="14"/>
      <c r="O143" s="14" t="s">
        <v>203</v>
      </c>
      <c r="P143" s="14"/>
      <c r="Q143" s="14"/>
      <c r="R143" s="22" t="s">
        <v>139</v>
      </c>
      <c r="S143" s="22"/>
      <c r="T143" s="16">
        <f>27440</f>
        <v>27440</v>
      </c>
      <c r="U143" s="16"/>
      <c r="V143" s="16"/>
      <c r="W143" s="16">
        <f>27440</f>
        <v>27440</v>
      </c>
      <c r="X143" s="16"/>
      <c r="Y143" s="16"/>
      <c r="Z143" s="16"/>
      <c r="AA143" s="16"/>
      <c r="AB143" s="47">
        <f>0</f>
        <v>0</v>
      </c>
      <c r="AC143" s="47"/>
    </row>
    <row r="144" spans="1:29" s="1" customFormat="1" ht="13.5" customHeight="1">
      <c r="A144" s="13" t="s">
        <v>111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4" t="s">
        <v>95</v>
      </c>
      <c r="M144" s="14"/>
      <c r="N144" s="14"/>
      <c r="O144" s="14" t="s">
        <v>203</v>
      </c>
      <c r="P144" s="14"/>
      <c r="Q144" s="14"/>
      <c r="R144" s="22" t="s">
        <v>112</v>
      </c>
      <c r="S144" s="22"/>
      <c r="T144" s="16">
        <f>27599</f>
        <v>27599</v>
      </c>
      <c r="U144" s="16"/>
      <c r="V144" s="16"/>
      <c r="W144" s="16">
        <f>27599</f>
        <v>27599</v>
      </c>
      <c r="X144" s="16"/>
      <c r="Y144" s="16"/>
      <c r="Z144" s="16"/>
      <c r="AA144" s="16"/>
      <c r="AB144" s="47">
        <f>0</f>
        <v>0</v>
      </c>
      <c r="AC144" s="47"/>
    </row>
    <row r="145" spans="1:29" s="1" customFormat="1" ht="13.5" customHeight="1">
      <c r="A145" s="13" t="s">
        <v>113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4" t="s">
        <v>95</v>
      </c>
      <c r="M145" s="14"/>
      <c r="N145" s="14"/>
      <c r="O145" s="14" t="s">
        <v>203</v>
      </c>
      <c r="P145" s="14"/>
      <c r="Q145" s="14"/>
      <c r="R145" s="22" t="s">
        <v>114</v>
      </c>
      <c r="S145" s="22"/>
      <c r="T145" s="16">
        <f>188600</f>
        <v>188600</v>
      </c>
      <c r="U145" s="16"/>
      <c r="V145" s="16"/>
      <c r="W145" s="16">
        <f>188600</f>
        <v>188600</v>
      </c>
      <c r="X145" s="16"/>
      <c r="Y145" s="16"/>
      <c r="Z145" s="16"/>
      <c r="AA145" s="16"/>
      <c r="AB145" s="47">
        <f>0</f>
        <v>0</v>
      </c>
      <c r="AC145" s="47"/>
    </row>
    <row r="146" spans="1:29" s="1" customFormat="1" ht="13.5" customHeight="1">
      <c r="A146" s="13" t="s">
        <v>115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4" t="s">
        <v>95</v>
      </c>
      <c r="M146" s="14"/>
      <c r="N146" s="14"/>
      <c r="O146" s="14" t="s">
        <v>204</v>
      </c>
      <c r="P146" s="14"/>
      <c r="Q146" s="14"/>
      <c r="R146" s="22" t="s">
        <v>117</v>
      </c>
      <c r="S146" s="22"/>
      <c r="T146" s="16">
        <f>40000</f>
        <v>40000</v>
      </c>
      <c r="U146" s="16"/>
      <c r="V146" s="16"/>
      <c r="W146" s="16">
        <f>7286</f>
        <v>7286</v>
      </c>
      <c r="X146" s="16"/>
      <c r="Y146" s="16"/>
      <c r="Z146" s="16"/>
      <c r="AA146" s="16"/>
      <c r="AB146" s="47">
        <f>32714</f>
        <v>32714</v>
      </c>
      <c r="AC146" s="47"/>
    </row>
    <row r="147" spans="1:29" s="1" customFormat="1" ht="13.5" customHeight="1">
      <c r="A147" s="13" t="s">
        <v>138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4" t="s">
        <v>95</v>
      </c>
      <c r="M147" s="14"/>
      <c r="N147" s="14"/>
      <c r="O147" s="14" t="s">
        <v>205</v>
      </c>
      <c r="P147" s="14"/>
      <c r="Q147" s="14"/>
      <c r="R147" s="22" t="s">
        <v>139</v>
      </c>
      <c r="S147" s="22"/>
      <c r="T147" s="16">
        <f>267895</f>
        <v>267895</v>
      </c>
      <c r="U147" s="16"/>
      <c r="V147" s="16"/>
      <c r="W147" s="16">
        <f>267895</f>
        <v>267895</v>
      </c>
      <c r="X147" s="16"/>
      <c r="Y147" s="16"/>
      <c r="Z147" s="16"/>
      <c r="AA147" s="16"/>
      <c r="AB147" s="47">
        <f>0</f>
        <v>0</v>
      </c>
      <c r="AC147" s="47"/>
    </row>
    <row r="148" spans="1:29" s="1" customFormat="1" ht="13.5" customHeight="1">
      <c r="A148" s="13" t="s">
        <v>142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4" t="s">
        <v>95</v>
      </c>
      <c r="M148" s="14"/>
      <c r="N148" s="14"/>
      <c r="O148" s="14" t="s">
        <v>205</v>
      </c>
      <c r="P148" s="14"/>
      <c r="Q148" s="14"/>
      <c r="R148" s="22" t="s">
        <v>143</v>
      </c>
      <c r="S148" s="22"/>
      <c r="T148" s="16">
        <f>32105</f>
        <v>32105</v>
      </c>
      <c r="U148" s="16"/>
      <c r="V148" s="16"/>
      <c r="W148" s="16">
        <f>5175</f>
        <v>5175</v>
      </c>
      <c r="X148" s="16"/>
      <c r="Y148" s="16"/>
      <c r="Z148" s="16"/>
      <c r="AA148" s="16"/>
      <c r="AB148" s="47">
        <f>26930</f>
        <v>26930</v>
      </c>
      <c r="AC148" s="47"/>
    </row>
    <row r="149" spans="1:29" s="1" customFormat="1" ht="13.5" customHeight="1">
      <c r="A149" s="13" t="s">
        <v>138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 t="s">
        <v>95</v>
      </c>
      <c r="M149" s="14"/>
      <c r="N149" s="14"/>
      <c r="O149" s="14" t="s">
        <v>206</v>
      </c>
      <c r="P149" s="14"/>
      <c r="Q149" s="14"/>
      <c r="R149" s="22" t="s">
        <v>139</v>
      </c>
      <c r="S149" s="22"/>
      <c r="T149" s="16">
        <f>264763.96</f>
        <v>264763.96</v>
      </c>
      <c r="U149" s="16"/>
      <c r="V149" s="16"/>
      <c r="W149" s="20" t="s">
        <v>47</v>
      </c>
      <c r="X149" s="20"/>
      <c r="Y149" s="20"/>
      <c r="Z149" s="20"/>
      <c r="AA149" s="20"/>
      <c r="AB149" s="47">
        <f>264763.96</f>
        <v>264763.96</v>
      </c>
      <c r="AC149" s="47"/>
    </row>
    <row r="150" spans="1:29" s="1" customFormat="1" ht="13.5" customHeight="1">
      <c r="A150" s="13" t="s">
        <v>138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4" t="s">
        <v>95</v>
      </c>
      <c r="M150" s="14"/>
      <c r="N150" s="14"/>
      <c r="O150" s="14" t="s">
        <v>207</v>
      </c>
      <c r="P150" s="14"/>
      <c r="Q150" s="14"/>
      <c r="R150" s="22" t="s">
        <v>139</v>
      </c>
      <c r="S150" s="22"/>
      <c r="T150" s="16">
        <f>15000</f>
        <v>15000</v>
      </c>
      <c r="U150" s="16"/>
      <c r="V150" s="16"/>
      <c r="W150" s="20" t="s">
        <v>47</v>
      </c>
      <c r="X150" s="20"/>
      <c r="Y150" s="20"/>
      <c r="Z150" s="20"/>
      <c r="AA150" s="20"/>
      <c r="AB150" s="47">
        <f>15000</f>
        <v>15000</v>
      </c>
      <c r="AC150" s="47"/>
    </row>
    <row r="151" spans="1:29" s="1" customFormat="1" ht="13.5" customHeight="1">
      <c r="A151" s="13" t="s">
        <v>208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4" t="s">
        <v>95</v>
      </c>
      <c r="M151" s="14"/>
      <c r="N151" s="14"/>
      <c r="O151" s="14" t="s">
        <v>209</v>
      </c>
      <c r="P151" s="14"/>
      <c r="Q151" s="14"/>
      <c r="R151" s="22" t="s">
        <v>210</v>
      </c>
      <c r="S151" s="22"/>
      <c r="T151" s="16">
        <f>10782198.86</f>
        <v>10782198.86</v>
      </c>
      <c r="U151" s="16"/>
      <c r="V151" s="16"/>
      <c r="W151" s="16">
        <f>5396210</f>
        <v>5396210</v>
      </c>
      <c r="X151" s="16"/>
      <c r="Y151" s="16"/>
      <c r="Z151" s="16"/>
      <c r="AA151" s="16"/>
      <c r="AB151" s="47">
        <f>5385988.86</f>
        <v>5385988.86</v>
      </c>
      <c r="AC151" s="47"/>
    </row>
    <row r="152" spans="1:29" s="1" customFormat="1" ht="15" customHeight="1">
      <c r="A152" s="48" t="s">
        <v>211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9" t="s">
        <v>212</v>
      </c>
      <c r="M152" s="49"/>
      <c r="N152" s="49"/>
      <c r="O152" s="49" t="s">
        <v>38</v>
      </c>
      <c r="P152" s="49"/>
      <c r="Q152" s="49"/>
      <c r="R152" s="50" t="s">
        <v>38</v>
      </c>
      <c r="S152" s="50"/>
      <c r="T152" s="51">
        <f>-3735803.8</f>
        <v>-3735803.8</v>
      </c>
      <c r="U152" s="51"/>
      <c r="V152" s="51"/>
      <c r="W152" s="51">
        <f>1323790.92</f>
        <v>1323790.92</v>
      </c>
      <c r="X152" s="51"/>
      <c r="Y152" s="51"/>
      <c r="Z152" s="51"/>
      <c r="AA152" s="51"/>
      <c r="AB152" s="52" t="s">
        <v>38</v>
      </c>
      <c r="AC152" s="52"/>
    </row>
    <row r="153" spans="1:29" s="1" customFormat="1" ht="13.5" customHeight="1">
      <c r="A153" s="8" t="s">
        <v>18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1" customFormat="1" ht="13.5" customHeight="1">
      <c r="A154" s="43" t="s">
        <v>213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</row>
    <row r="155" spans="1:29" s="1" customFormat="1" ht="45.75" customHeight="1">
      <c r="A155" s="44" t="s">
        <v>24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 t="s">
        <v>25</v>
      </c>
      <c r="N155" s="44"/>
      <c r="O155" s="44"/>
      <c r="P155" s="44" t="s">
        <v>214</v>
      </c>
      <c r="Q155" s="44"/>
      <c r="R155" s="44"/>
      <c r="S155" s="45" t="s">
        <v>27</v>
      </c>
      <c r="T155" s="45"/>
      <c r="U155" s="45"/>
      <c r="V155" s="45" t="s">
        <v>28</v>
      </c>
      <c r="W155" s="45"/>
      <c r="X155" s="45"/>
      <c r="Y155" s="45"/>
      <c r="Z155" s="45"/>
      <c r="AA155" s="46" t="s">
        <v>29</v>
      </c>
      <c r="AB155" s="46"/>
      <c r="AC155" s="46"/>
    </row>
    <row r="156" spans="1:29" s="1" customFormat="1" ht="12.75" customHeight="1">
      <c r="A156" s="40" t="s">
        <v>30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 t="s">
        <v>31</v>
      </c>
      <c r="N156" s="40"/>
      <c r="O156" s="40"/>
      <c r="P156" s="40" t="s">
        <v>32</v>
      </c>
      <c r="Q156" s="40"/>
      <c r="R156" s="40"/>
      <c r="S156" s="41" t="s">
        <v>33</v>
      </c>
      <c r="T156" s="41"/>
      <c r="U156" s="41"/>
      <c r="V156" s="41" t="s">
        <v>34</v>
      </c>
      <c r="W156" s="41"/>
      <c r="X156" s="41"/>
      <c r="Y156" s="41"/>
      <c r="Z156" s="41"/>
      <c r="AA156" s="42" t="s">
        <v>35</v>
      </c>
      <c r="AB156" s="42"/>
      <c r="AC156" s="42"/>
    </row>
    <row r="157" spans="1:29" s="1" customFormat="1" ht="13.5" customHeight="1">
      <c r="A157" s="34" t="s">
        <v>215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5" t="s">
        <v>216</v>
      </c>
      <c r="N157" s="35"/>
      <c r="O157" s="35"/>
      <c r="P157" s="35" t="s">
        <v>38</v>
      </c>
      <c r="Q157" s="35"/>
      <c r="R157" s="35"/>
      <c r="S157" s="36">
        <f>3735803.8</f>
        <v>3735803.8</v>
      </c>
      <c r="T157" s="36"/>
      <c r="U157" s="36"/>
      <c r="V157" s="37">
        <f>-1323790.92</f>
        <v>-1323790.92</v>
      </c>
      <c r="W157" s="37"/>
      <c r="X157" s="37"/>
      <c r="Y157" s="37"/>
      <c r="Z157" s="37"/>
      <c r="AA157" s="38">
        <f>AA163</f>
        <v>5059594.72</v>
      </c>
      <c r="AB157" s="39"/>
      <c r="AC157" s="39"/>
    </row>
    <row r="158" spans="1:29" s="1" customFormat="1" ht="13.5" customHeight="1">
      <c r="A158" s="32" t="s">
        <v>217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23" t="s">
        <v>18</v>
      </c>
      <c r="N158" s="23"/>
      <c r="O158" s="23"/>
      <c r="P158" s="23" t="s">
        <v>18</v>
      </c>
      <c r="Q158" s="23"/>
      <c r="R158" s="23"/>
      <c r="S158" s="24" t="s">
        <v>18</v>
      </c>
      <c r="T158" s="24"/>
      <c r="U158" s="24"/>
      <c r="V158" s="33" t="s">
        <v>18</v>
      </c>
      <c r="W158" s="33"/>
      <c r="X158" s="33"/>
      <c r="Y158" s="33"/>
      <c r="Z158" s="33"/>
      <c r="AA158" s="25" t="s">
        <v>18</v>
      </c>
      <c r="AB158" s="25"/>
      <c r="AC158" s="25"/>
    </row>
    <row r="159" spans="1:29" s="1" customFormat="1" ht="13.5" customHeight="1">
      <c r="A159" s="26" t="s">
        <v>218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 t="s">
        <v>219</v>
      </c>
      <c r="N159" s="27"/>
      <c r="O159" s="27"/>
      <c r="P159" s="28" t="s">
        <v>38</v>
      </c>
      <c r="Q159" s="28"/>
      <c r="R159" s="28"/>
      <c r="S159" s="29" t="s">
        <v>47</v>
      </c>
      <c r="T159" s="29"/>
      <c r="U159" s="29"/>
      <c r="V159" s="30" t="s">
        <v>47</v>
      </c>
      <c r="W159" s="30"/>
      <c r="X159" s="30"/>
      <c r="Y159" s="30"/>
      <c r="Z159" s="30"/>
      <c r="AA159" s="31" t="s">
        <v>47</v>
      </c>
      <c r="AB159" s="31"/>
      <c r="AC159" s="31"/>
    </row>
    <row r="160" spans="1:29" s="1" customFormat="1" ht="13.5" customHeight="1">
      <c r="A160" s="22" t="s">
        <v>18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s="1" customFormat="1" ht="13.5" customHeight="1">
      <c r="A161" s="13" t="s">
        <v>220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23" t="s">
        <v>221</v>
      </c>
      <c r="N161" s="23"/>
      <c r="O161" s="23"/>
      <c r="P161" s="23" t="s">
        <v>38</v>
      </c>
      <c r="Q161" s="23"/>
      <c r="R161" s="23"/>
      <c r="S161" s="24" t="s">
        <v>47</v>
      </c>
      <c r="T161" s="24"/>
      <c r="U161" s="24"/>
      <c r="V161" s="20" t="s">
        <v>47</v>
      </c>
      <c r="W161" s="20"/>
      <c r="X161" s="20"/>
      <c r="Y161" s="20"/>
      <c r="Z161" s="20"/>
      <c r="AA161" s="25" t="s">
        <v>47</v>
      </c>
      <c r="AB161" s="25"/>
      <c r="AC161" s="25"/>
    </row>
    <row r="162" spans="1:29" s="1" customFormat="1" ht="13.5" customHeight="1">
      <c r="A162" s="13" t="s">
        <v>18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 t="s">
        <v>221</v>
      </c>
      <c r="N162" s="14"/>
      <c r="O162" s="14"/>
      <c r="P162" s="14" t="s">
        <v>18</v>
      </c>
      <c r="Q162" s="14"/>
      <c r="R162" s="14"/>
      <c r="S162" s="19" t="s">
        <v>47</v>
      </c>
      <c r="T162" s="19"/>
      <c r="U162" s="19"/>
      <c r="V162" s="20" t="s">
        <v>47</v>
      </c>
      <c r="W162" s="20"/>
      <c r="X162" s="20"/>
      <c r="Y162" s="20"/>
      <c r="Z162" s="20"/>
      <c r="AA162" s="21" t="s">
        <v>47</v>
      </c>
      <c r="AB162" s="21"/>
      <c r="AC162" s="21"/>
    </row>
    <row r="163" spans="1:29" s="1" customFormat="1" ht="13.5" customHeight="1">
      <c r="A163" s="13" t="s">
        <v>222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4" t="s">
        <v>223</v>
      </c>
      <c r="N163" s="14"/>
      <c r="O163" s="14"/>
      <c r="P163" s="14" t="s">
        <v>239</v>
      </c>
      <c r="Q163" s="14"/>
      <c r="R163" s="14"/>
      <c r="S163" s="15">
        <f>3735803.8</f>
        <v>3735803.8</v>
      </c>
      <c r="T163" s="15"/>
      <c r="U163" s="15"/>
      <c r="V163" s="16">
        <f>-1323790.92</f>
        <v>-1323790.92</v>
      </c>
      <c r="W163" s="16"/>
      <c r="X163" s="16"/>
      <c r="Y163" s="16"/>
      <c r="Z163" s="16"/>
      <c r="AA163" s="18">
        <f>5059594.72</f>
        <v>5059594.72</v>
      </c>
      <c r="AB163" s="18"/>
      <c r="AC163" s="18"/>
    </row>
    <row r="164" spans="1:29" s="1" customFormat="1" ht="13.5" customHeight="1">
      <c r="A164" s="13" t="s">
        <v>240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4" t="s">
        <v>224</v>
      </c>
      <c r="N164" s="14"/>
      <c r="O164" s="14"/>
      <c r="P164" s="14" t="s">
        <v>225</v>
      </c>
      <c r="Q164" s="14"/>
      <c r="R164" s="14"/>
      <c r="S164" s="15">
        <f>-53134791.09</f>
        <v>-53134791.09</v>
      </c>
      <c r="T164" s="15"/>
      <c r="U164" s="15"/>
      <c r="V164" s="16">
        <v>-26432500.66</v>
      </c>
      <c r="W164" s="16"/>
      <c r="X164" s="16"/>
      <c r="Y164" s="16"/>
      <c r="Z164" s="16"/>
      <c r="AA164" s="17" t="s">
        <v>38</v>
      </c>
      <c r="AB164" s="17"/>
      <c r="AC164" s="17"/>
    </row>
    <row r="165" spans="1:29" s="1" customFormat="1" ht="13.5" customHeight="1">
      <c r="A165" s="13" t="s">
        <v>241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4" t="s">
        <v>226</v>
      </c>
      <c r="N165" s="14"/>
      <c r="O165" s="14"/>
      <c r="P165" s="14" t="s">
        <v>227</v>
      </c>
      <c r="Q165" s="14"/>
      <c r="R165" s="14"/>
      <c r="S165" s="15">
        <f>56870594.89</f>
        <v>56870594.89</v>
      </c>
      <c r="T165" s="15"/>
      <c r="U165" s="15"/>
      <c r="V165" s="16">
        <v>25108709.74</v>
      </c>
      <c r="W165" s="16"/>
      <c r="X165" s="16"/>
      <c r="Y165" s="16"/>
      <c r="Z165" s="16"/>
      <c r="AA165" s="17" t="s">
        <v>38</v>
      </c>
      <c r="AB165" s="17"/>
      <c r="AC165" s="17"/>
    </row>
    <row r="166" spans="1:29" s="1" customFormat="1" ht="13.5" customHeight="1">
      <c r="A166" s="12" t="s">
        <v>18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" customFormat="1" ht="13.5" customHeight="1">
      <c r="A167" s="8" t="s">
        <v>228</v>
      </c>
      <c r="B167" s="8"/>
      <c r="C167" s="8"/>
      <c r="D167" s="8"/>
      <c r="E167" s="8"/>
      <c r="F167" s="8"/>
      <c r="G167" s="8"/>
      <c r="H167" s="8"/>
      <c r="I167" s="11" t="s">
        <v>18</v>
      </c>
      <c r="J167" s="11"/>
      <c r="K167" s="11"/>
      <c r="L167" s="11"/>
      <c r="M167" s="11"/>
      <c r="N167" s="11"/>
      <c r="O167" s="11"/>
      <c r="P167" s="11" t="s">
        <v>229</v>
      </c>
      <c r="Q167" s="11"/>
      <c r="R167" s="11"/>
      <c r="S167" s="11"/>
      <c r="T167" s="11"/>
      <c r="U167" s="8" t="s">
        <v>18</v>
      </c>
      <c r="V167" s="8"/>
      <c r="W167" s="8"/>
      <c r="X167" s="8"/>
      <c r="Y167" s="8"/>
      <c r="Z167" s="8"/>
      <c r="AA167" s="8"/>
      <c r="AB167" s="8"/>
      <c r="AC167" s="8"/>
    </row>
    <row r="168" spans="1:29" s="1" customFormat="1" ht="13.5" customHeight="1">
      <c r="A168" s="8" t="s">
        <v>18</v>
      </c>
      <c r="B168" s="8"/>
      <c r="C168" s="8"/>
      <c r="D168" s="8"/>
      <c r="E168" s="8"/>
      <c r="F168" s="8"/>
      <c r="G168" s="8"/>
      <c r="H168" s="8"/>
      <c r="I168" s="5" t="s">
        <v>18</v>
      </c>
      <c r="J168" s="10" t="s">
        <v>230</v>
      </c>
      <c r="K168" s="10"/>
      <c r="L168" s="10"/>
      <c r="M168" s="10"/>
      <c r="N168" s="8" t="s">
        <v>18</v>
      </c>
      <c r="O168" s="8"/>
      <c r="P168" s="5" t="s">
        <v>18</v>
      </c>
      <c r="Q168" s="10" t="s">
        <v>231</v>
      </c>
      <c r="R168" s="10"/>
      <c r="S168" s="10"/>
      <c r="T168" s="8" t="s">
        <v>18</v>
      </c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s="1" customFormat="1" ht="7.5" customHeight="1">
      <c r="A169" s="8" t="s">
        <v>18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s="1" customFormat="1" ht="13.5" customHeight="1">
      <c r="A170" s="8" t="s">
        <v>232</v>
      </c>
      <c r="B170" s="8"/>
      <c r="C170" s="8"/>
      <c r="D170" s="8"/>
      <c r="E170" s="8"/>
      <c r="F170" s="8"/>
      <c r="G170" s="8"/>
      <c r="H170" s="8"/>
      <c r="I170" s="11" t="s">
        <v>18</v>
      </c>
      <c r="J170" s="11"/>
      <c r="K170" s="11"/>
      <c r="L170" s="11"/>
      <c r="M170" s="11"/>
      <c r="N170" s="11"/>
      <c r="O170" s="11"/>
      <c r="P170" s="11" t="s">
        <v>233</v>
      </c>
      <c r="Q170" s="11"/>
      <c r="R170" s="11"/>
      <c r="S170" s="11"/>
      <c r="T170" s="11"/>
      <c r="U170" s="8" t="s">
        <v>18</v>
      </c>
      <c r="V170" s="8"/>
      <c r="W170" s="8"/>
      <c r="X170" s="8"/>
      <c r="Y170" s="8"/>
      <c r="Z170" s="8"/>
      <c r="AA170" s="8"/>
      <c r="AB170" s="8"/>
      <c r="AC170" s="8"/>
    </row>
    <row r="171" spans="1:29" s="1" customFormat="1" ht="13.5" customHeight="1">
      <c r="A171" s="8" t="s">
        <v>18</v>
      </c>
      <c r="B171" s="8"/>
      <c r="C171" s="8"/>
      <c r="D171" s="8"/>
      <c r="E171" s="8"/>
      <c r="F171" s="8"/>
      <c r="G171" s="8"/>
      <c r="H171" s="8"/>
      <c r="I171" s="5" t="s">
        <v>18</v>
      </c>
      <c r="J171" s="10" t="s">
        <v>230</v>
      </c>
      <c r="K171" s="10"/>
      <c r="L171" s="10"/>
      <c r="M171" s="10"/>
      <c r="N171" s="8" t="s">
        <v>18</v>
      </c>
      <c r="O171" s="8"/>
      <c r="P171" s="5" t="s">
        <v>18</v>
      </c>
      <c r="Q171" s="10" t="s">
        <v>231</v>
      </c>
      <c r="R171" s="10"/>
      <c r="S171" s="10"/>
      <c r="T171" s="8" t="s">
        <v>18</v>
      </c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s="1" customFormat="1" ht="7.5" customHeight="1">
      <c r="A172" s="8" t="s">
        <v>18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s="1" customFormat="1" ht="13.5" customHeight="1">
      <c r="A173" s="8" t="s">
        <v>234</v>
      </c>
      <c r="B173" s="8"/>
      <c r="C173" s="11" t="s">
        <v>235</v>
      </c>
      <c r="D173" s="11"/>
      <c r="E173" s="11"/>
      <c r="F173" s="11"/>
      <c r="G173" s="11"/>
      <c r="H173" s="11"/>
      <c r="I173" s="11" t="s">
        <v>18</v>
      </c>
      <c r="J173" s="11"/>
      <c r="K173" s="11"/>
      <c r="L173" s="11"/>
      <c r="M173" s="11"/>
      <c r="N173" s="11"/>
      <c r="O173" s="11"/>
      <c r="P173" s="11" t="s">
        <v>236</v>
      </c>
      <c r="Q173" s="11"/>
      <c r="R173" s="11"/>
      <c r="S173" s="11"/>
      <c r="T173" s="11"/>
      <c r="U173" s="8" t="s">
        <v>18</v>
      </c>
      <c r="V173" s="8"/>
      <c r="W173" s="8"/>
      <c r="X173" s="8"/>
      <c r="Y173" s="8"/>
      <c r="Z173" s="8"/>
      <c r="AA173" s="8"/>
      <c r="AB173" s="8"/>
      <c r="AC173" s="8"/>
    </row>
    <row r="174" spans="1:29" s="1" customFormat="1" ht="13.5" customHeight="1">
      <c r="A174" s="8" t="s">
        <v>18</v>
      </c>
      <c r="B174" s="8"/>
      <c r="C174" s="5" t="s">
        <v>18</v>
      </c>
      <c r="D174" s="10" t="s">
        <v>237</v>
      </c>
      <c r="E174" s="10"/>
      <c r="F174" s="10"/>
      <c r="G174" s="10"/>
      <c r="H174" s="5" t="s">
        <v>18</v>
      </c>
      <c r="I174" s="5" t="s">
        <v>18</v>
      </c>
      <c r="J174" s="10" t="s">
        <v>230</v>
      </c>
      <c r="K174" s="10"/>
      <c r="L174" s="10"/>
      <c r="M174" s="10"/>
      <c r="N174" s="8" t="s">
        <v>18</v>
      </c>
      <c r="O174" s="8"/>
      <c r="P174" s="5" t="s">
        <v>18</v>
      </c>
      <c r="Q174" s="10" t="s">
        <v>231</v>
      </c>
      <c r="R174" s="10"/>
      <c r="S174" s="10"/>
      <c r="T174" s="8" t="s">
        <v>18</v>
      </c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s="1" customFormat="1" ht="15.75" customHeight="1">
      <c r="A175" s="8" t="s">
        <v>18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s="1" customFormat="1" ht="13.5" customHeight="1">
      <c r="A176" s="9" t="s">
        <v>238</v>
      </c>
      <c r="B176" s="9"/>
      <c r="C176" s="9"/>
      <c r="D176" s="9"/>
      <c r="E176" s="9"/>
      <c r="F176" s="9"/>
      <c r="G176" s="9"/>
      <c r="H176" s="9"/>
      <c r="I176" s="9"/>
      <c r="J176" s="9"/>
      <c r="K176" s="8" t="s">
        <v>18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</sheetData>
  <sheetProtection/>
  <mergeCells count="1075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W42:AA42"/>
    <mergeCell ref="AB42:AC42"/>
    <mergeCell ref="A41:K41"/>
    <mergeCell ref="L41:N41"/>
    <mergeCell ref="O41:Q41"/>
    <mergeCell ref="R41:S41"/>
    <mergeCell ref="T41:V41"/>
    <mergeCell ref="W41:AA41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W46:AA46"/>
    <mergeCell ref="AB46:AC46"/>
    <mergeCell ref="A45:K45"/>
    <mergeCell ref="L45:N45"/>
    <mergeCell ref="O45:Q45"/>
    <mergeCell ref="R45:S45"/>
    <mergeCell ref="T45:V45"/>
    <mergeCell ref="W45:AA45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W50:AA50"/>
    <mergeCell ref="AB50:AC50"/>
    <mergeCell ref="A49:K49"/>
    <mergeCell ref="L49:N49"/>
    <mergeCell ref="O49:Q49"/>
    <mergeCell ref="R49:S49"/>
    <mergeCell ref="T49:V49"/>
    <mergeCell ref="W49:AA49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W54:AA54"/>
    <mergeCell ref="AB54:AC54"/>
    <mergeCell ref="A53:K53"/>
    <mergeCell ref="L53:N53"/>
    <mergeCell ref="O53:Q53"/>
    <mergeCell ref="R53:S53"/>
    <mergeCell ref="T53:V53"/>
    <mergeCell ref="W53:AA53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W58:AA58"/>
    <mergeCell ref="AB58:AC58"/>
    <mergeCell ref="A57:K57"/>
    <mergeCell ref="L57:N57"/>
    <mergeCell ref="O57:Q57"/>
    <mergeCell ref="R57:S57"/>
    <mergeCell ref="T57:V57"/>
    <mergeCell ref="W57:AA57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W62:AA62"/>
    <mergeCell ref="AB62:AC62"/>
    <mergeCell ref="A61:K61"/>
    <mergeCell ref="L61:N61"/>
    <mergeCell ref="O61:Q61"/>
    <mergeCell ref="R61:S61"/>
    <mergeCell ref="T61:V61"/>
    <mergeCell ref="W61:AA61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0:AA90"/>
    <mergeCell ref="AB90:AC90"/>
    <mergeCell ref="A89:K89"/>
    <mergeCell ref="L89:N89"/>
    <mergeCell ref="O89:Q89"/>
    <mergeCell ref="R89:S89"/>
    <mergeCell ref="T89:V89"/>
    <mergeCell ref="W89:AA89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W98:AA98"/>
    <mergeCell ref="AB98:AC98"/>
    <mergeCell ref="A97:K97"/>
    <mergeCell ref="L97:N97"/>
    <mergeCell ref="O97:Q97"/>
    <mergeCell ref="R97:S97"/>
    <mergeCell ref="T97:V97"/>
    <mergeCell ref="W97:AA97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A153:AC153"/>
    <mergeCell ref="A154:AC154"/>
    <mergeCell ref="A155:L155"/>
    <mergeCell ref="M155:O155"/>
    <mergeCell ref="P155:R155"/>
    <mergeCell ref="S155:U155"/>
    <mergeCell ref="V155:Z155"/>
    <mergeCell ref="AA155:AC155"/>
    <mergeCell ref="A156:L156"/>
    <mergeCell ref="M156:O156"/>
    <mergeCell ref="P156:R156"/>
    <mergeCell ref="S156:U156"/>
    <mergeCell ref="V156:Z156"/>
    <mergeCell ref="AA156:AC156"/>
    <mergeCell ref="A157:L157"/>
    <mergeCell ref="M157:O157"/>
    <mergeCell ref="P157:R157"/>
    <mergeCell ref="S157:U157"/>
    <mergeCell ref="V157:Z157"/>
    <mergeCell ref="AA157:AC157"/>
    <mergeCell ref="A158:L158"/>
    <mergeCell ref="M158:O158"/>
    <mergeCell ref="P158:R158"/>
    <mergeCell ref="S158:U158"/>
    <mergeCell ref="V158:Z158"/>
    <mergeCell ref="AA158:AC158"/>
    <mergeCell ref="A159:L159"/>
    <mergeCell ref="M159:O159"/>
    <mergeCell ref="P159:R159"/>
    <mergeCell ref="S159:U159"/>
    <mergeCell ref="V159:Z159"/>
    <mergeCell ref="AA159:AC159"/>
    <mergeCell ref="A160:AC160"/>
    <mergeCell ref="A161:L161"/>
    <mergeCell ref="M161:O161"/>
    <mergeCell ref="P161:R161"/>
    <mergeCell ref="S161:U161"/>
    <mergeCell ref="V161:Z161"/>
    <mergeCell ref="AA161:AC161"/>
    <mergeCell ref="A162:L162"/>
    <mergeCell ref="M162:O162"/>
    <mergeCell ref="P162:R162"/>
    <mergeCell ref="S162:U162"/>
    <mergeCell ref="V162:Z162"/>
    <mergeCell ref="AA162:AC162"/>
    <mergeCell ref="A163:L163"/>
    <mergeCell ref="M163:O163"/>
    <mergeCell ref="P163:R163"/>
    <mergeCell ref="S163:U163"/>
    <mergeCell ref="V163:Z163"/>
    <mergeCell ref="AA163:AC163"/>
    <mergeCell ref="A164:L164"/>
    <mergeCell ref="M164:O164"/>
    <mergeCell ref="P164:R164"/>
    <mergeCell ref="S164:U164"/>
    <mergeCell ref="V164:Z164"/>
    <mergeCell ref="AA164:AC164"/>
    <mergeCell ref="A165:L165"/>
    <mergeCell ref="M165:O165"/>
    <mergeCell ref="P165:R165"/>
    <mergeCell ref="S165:U165"/>
    <mergeCell ref="V165:Z165"/>
    <mergeCell ref="AA165:AC165"/>
    <mergeCell ref="A166:AC166"/>
    <mergeCell ref="A167:H167"/>
    <mergeCell ref="I167:O167"/>
    <mergeCell ref="P167:T167"/>
    <mergeCell ref="U167:AC167"/>
    <mergeCell ref="A168:H168"/>
    <mergeCell ref="J168:M168"/>
    <mergeCell ref="N168:O168"/>
    <mergeCell ref="Q168:S168"/>
    <mergeCell ref="T168:AC168"/>
    <mergeCell ref="A169:AC169"/>
    <mergeCell ref="A170:H170"/>
    <mergeCell ref="I170:O170"/>
    <mergeCell ref="P170:T170"/>
    <mergeCell ref="U170:AC170"/>
    <mergeCell ref="A171:H171"/>
    <mergeCell ref="J171:M171"/>
    <mergeCell ref="N171:O171"/>
    <mergeCell ref="Q171:S171"/>
    <mergeCell ref="T171:AC171"/>
    <mergeCell ref="A172:AC172"/>
    <mergeCell ref="A173:B173"/>
    <mergeCell ref="C173:H173"/>
    <mergeCell ref="I173:O173"/>
    <mergeCell ref="P173:T173"/>
    <mergeCell ref="U173:AC173"/>
    <mergeCell ref="A175:AC175"/>
    <mergeCell ref="A176:J176"/>
    <mergeCell ref="K176:AC176"/>
    <mergeCell ref="A174:B174"/>
    <mergeCell ref="D174:G174"/>
    <mergeCell ref="J174:M174"/>
    <mergeCell ref="N174:O174"/>
    <mergeCell ref="Q174:S174"/>
    <mergeCell ref="T174:AC174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0" r:id="rId1"/>
  <rowBreaks count="2" manualBreakCount="2">
    <brk id="38" max="255" man="1"/>
    <brk id="15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2019-07-03T06:06:42Z</cp:lastPrinted>
  <dcterms:modified xsi:type="dcterms:W3CDTF">2019-07-03T06:06:44Z</dcterms:modified>
  <cp:category/>
  <cp:version/>
  <cp:contentType/>
  <cp:contentStatus/>
</cp:coreProperties>
</file>