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<sst xmlns="http://schemas.openxmlformats.org/spreadsheetml/2006/main" count="458" uniqueCount="205">
  <si>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</si>
  <si>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</si>
  <si>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</si>
  <si>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</si>
  <si>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</si>
  <si>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</si>
  <si>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</si>
  <si>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</si>
  <si>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</si>
  <si>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</si>
  <si>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</si>
  <si>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</si>
  <si>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</si>
  <si>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</si>
  <si>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</si>
  <si>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</si>
  <si>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</si>
  <si>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</si>
  <si>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</si>
  <si>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</si>
  <si>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</si>
  <si>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</si>
  <si>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</si>
  <si>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</si>
  <si>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</si>
  <si>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</si>
  <si>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</si>
  <si>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</si>
  <si>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</si>
  <si>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</si>
  <si>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</si>
  <si>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</si>
  <si>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</si>
  <si>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</si>
  <si>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</si>
  <si>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</si>
  <si>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</si>
  <si>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</si>
  <si>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</si>
  <si>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</si>
  <si>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</si>
  <si>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</si>
  <si>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</si>
  <si>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</si>
  <si>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</si>
  <si>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</si>
  <si>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</si>
  <si>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</si>
  <si>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</si>
  <si>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</si>
  <si>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</si>
  <si>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</si>
  <si>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</si>
  <si>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</si>
  <si>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</si>
  <si>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</si>
  <si>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</si>
  <si>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</si>
  <si>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</si>
  <si>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</si>
  <si>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</si>
  <si>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</si>
  <si>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</si>
  <si>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</si>
  <si>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</si>
  <si>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</si>
  <si>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</si>
  <si>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</si>
  <si>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</si>
  <si>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</si>
  <si>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</si>
  <si>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</si>
  <si>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</si>
  <si>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</si>
  <si>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</si>
  <si>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</si>
  <si>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650 0102 4090201 121 211</t>
  </si>
  <si>
    <t>Начисления на выплаты по оплате труда</t>
  </si>
  <si>
    <t>650 0102 4090201 121 213</t>
  </si>
  <si>
    <t>650 0104 4090204 121 211</t>
  </si>
  <si>
    <t>650 0104 4090204 121 213</t>
  </si>
  <si>
    <t>Прочие выплаты</t>
  </si>
  <si>
    <t>650 0104 4090204 122 212</t>
  </si>
  <si>
    <t>Транспортные услуги</t>
  </si>
  <si>
    <t>650 0104 4090204 122 222</t>
  </si>
  <si>
    <t>Прочие работы, услуги</t>
  </si>
  <si>
    <t>650 0104 4090204 122 226</t>
  </si>
  <si>
    <t>Услуги связи</t>
  </si>
  <si>
    <t>650 0104 4090204 244 221</t>
  </si>
  <si>
    <t>650 0104 4090204 244 226</t>
  </si>
  <si>
    <t>Прочие расходы</t>
  </si>
  <si>
    <t>650 0104 4090204 244 290</t>
  </si>
  <si>
    <t>Увеличение стоимости основных средств</t>
  </si>
  <si>
    <t>650 0104 4090204 244 310</t>
  </si>
  <si>
    <t>Увеличение стоимости материальных запасов</t>
  </si>
  <si>
    <t>650 0104 4090204 244 340</t>
  </si>
  <si>
    <t>650 0104 4090204 853 290</t>
  </si>
  <si>
    <t>650 0111 4090705 870 290</t>
  </si>
  <si>
    <t>-</t>
  </si>
  <si>
    <t>650 0113 4090092 244 290</t>
  </si>
  <si>
    <t>650 0113 4090092 244 310</t>
  </si>
  <si>
    <t>650 0113 4090092 244 340</t>
  </si>
  <si>
    <t>650 0113 4090092 831 290</t>
  </si>
  <si>
    <t>650 0113 4090092 853 290</t>
  </si>
  <si>
    <t>650 0113 4090240 122 212</t>
  </si>
  <si>
    <t>650 0113 4090240 244 222</t>
  </si>
  <si>
    <t>Коммунальные услуги</t>
  </si>
  <si>
    <t>650 0113 4090240 244 223</t>
  </si>
  <si>
    <t>Работы, услуги по содержанию имущества</t>
  </si>
  <si>
    <t>650 0113 4090240 244 225</t>
  </si>
  <si>
    <t>650 0113 4090240 244 226</t>
  </si>
  <si>
    <t>650 0113 4090240 244 310</t>
  </si>
  <si>
    <t>650 0113 4090240 244 340</t>
  </si>
  <si>
    <t>650 0113 4090240 851 290</t>
  </si>
  <si>
    <t>650 0113 4090240 852 290</t>
  </si>
  <si>
    <t>650 0113 4090240 853 290</t>
  </si>
  <si>
    <t>650 0203 4090118 244 222</t>
  </si>
  <si>
    <t>650 0203 4095118 121 211</t>
  </si>
  <si>
    <t>650 0203 4095118 121 213</t>
  </si>
  <si>
    <t>650 0304 4095930 121 211</t>
  </si>
  <si>
    <t>650 0304 4095930 121 213</t>
  </si>
  <si>
    <t>650 0309 4092800 244 340</t>
  </si>
  <si>
    <t>650 0309 4092801 244 225</t>
  </si>
  <si>
    <t>650 0309 4092801 244 226</t>
  </si>
  <si>
    <t>650 0309 4092801 244 340</t>
  </si>
  <si>
    <t>650 0314 4091463 244 226</t>
  </si>
  <si>
    <t>650 0314 4095463 244 226</t>
  </si>
  <si>
    <t>650 0401 4015604 111 211</t>
  </si>
  <si>
    <t>650 0401 4015604 111 213</t>
  </si>
  <si>
    <t>650 0409 4092441 244 225</t>
  </si>
  <si>
    <t>650 0409 4092441 244 226</t>
  </si>
  <si>
    <t>650 0409 4092441 244 310</t>
  </si>
  <si>
    <t>650 0409 4092441 244 340</t>
  </si>
  <si>
    <t>650 0409 4092448 244 225</t>
  </si>
  <si>
    <t>650 0410 4090240 244 221</t>
  </si>
  <si>
    <t>650 0410 4090240 244 225</t>
  </si>
  <si>
    <t>650 0410 4090240 244 226</t>
  </si>
  <si>
    <t>650 0410 4090240 244 310</t>
  </si>
  <si>
    <t>650 0410 4090240 244 340</t>
  </si>
  <si>
    <t>650 0503 4092449 244 225</t>
  </si>
  <si>
    <t>650 0503 4092449 244 226</t>
  </si>
  <si>
    <t>650 0503 4092711 244 223</t>
  </si>
  <si>
    <t>650 0503 4092711 244 225</t>
  </si>
  <si>
    <t>650 0503 4092711 244 226</t>
  </si>
  <si>
    <t>650 0503 4092714 244 225</t>
  </si>
  <si>
    <t>650 0503 4092714 244 310</t>
  </si>
  <si>
    <t>650 0603 4092410 244 340</t>
  </si>
  <si>
    <t>650 0707 4092101 244 222</t>
  </si>
  <si>
    <t>650 0707 4092101 244 290</t>
  </si>
  <si>
    <t>650 0707 4092101 244 340</t>
  </si>
  <si>
    <t>Безвозмездные перечисления государственным и муниципальным организациям</t>
  </si>
  <si>
    <t>650 0801 4090059 611 241</t>
  </si>
  <si>
    <t>650 0801 4090059 612 241</t>
  </si>
  <si>
    <t>650 0801 4095471 611 241</t>
  </si>
  <si>
    <t>Пенсии, пособия, выплачиваемые организациями сектора государственного управления</t>
  </si>
  <si>
    <t>650 1001 4093491 312 263</t>
  </si>
  <si>
    <t>Пособия по социальной помощи населению</t>
  </si>
  <si>
    <t>650 1003 4093514 313 262</t>
  </si>
  <si>
    <t>650 1101 4090059 111 211</t>
  </si>
  <si>
    <t>650 1101 4090059 111 213</t>
  </si>
  <si>
    <t>650 1101 4090059 112 212</t>
  </si>
  <si>
    <t>650 1101 4090059 112 226</t>
  </si>
  <si>
    <t>650 1101 4090059 244 221</t>
  </si>
  <si>
    <t>650 1101 4090059 244 222</t>
  </si>
  <si>
    <t>650 1101 4090059 244 223</t>
  </si>
  <si>
    <t>650 1101 4090059 244 225</t>
  </si>
  <si>
    <t>650 1101 4090059 244 226</t>
  </si>
  <si>
    <t>650 1101 4090059 244 290</t>
  </si>
  <si>
    <t>650 1101 4090059 244 310</t>
  </si>
  <si>
    <t>650 1101 4090059 244 340</t>
  </si>
  <si>
    <t>650 1101 4090059 851 290</t>
  </si>
  <si>
    <t>650 1101 4090059 852 290</t>
  </si>
  <si>
    <t>Перечисления другим бюджетам бюджетной системы Российской Федерации</t>
  </si>
  <si>
    <t>650 1403 4094300 540 251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</si>
  <si>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</si>
  <si>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</si>
  <si>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</si>
  <si>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</si>
  <si>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</si>
  <si>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</si>
  <si>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</si>
  <si>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</si>
  <si>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</si>
  <si>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</si>
  <si>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</si>
  <si>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</si>
  <si>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</si>
  <si>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</si>
  <si>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</si>
  <si>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</si>
  <si>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</si>
  <si>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</si>
  <si>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</si>
  <si>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</si>
  <si>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</si>
  <si>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</si>
  <si>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</si>
  <si>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</si>
  <si>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</si>
  <si>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</si>
  <si>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</si>
  <si>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13 января 2016 г.   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</si>
  <si>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</si>
  <si>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</si>
  <si>
    <t>650 01050000 00 0000 000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</si>
</sst>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zoomScalePageLayoutView="0" workbookViewId="0" topLeftCell="A121">
      <selection activeCell="M133" sqref="M13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5.00390625" style="1" customWidth="1"/>
    <col min="12" max="13" width="3.7109375" style="1" customWidth="1"/>
    <col min="14" max="14" width="2.7109375" style="1" customWidth="1"/>
    <col min="15" max="15" width="18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1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42370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71331255.87</f>
        <v>71331255.87</v>
      </c>
      <c r="Q12" s="21"/>
      <c r="R12" s="21"/>
      <c r="S12" s="21">
        <f>70964028.01</f>
        <v>70964028.01</v>
      </c>
      <c r="T12" s="21"/>
      <c r="U12" s="21"/>
      <c r="V12" s="21"/>
      <c r="W12" s="22">
        <f>367227.86</f>
        <v>367227.86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4312100</f>
        <v>4312100</v>
      </c>
      <c r="Q13" s="25"/>
      <c r="R13" s="25"/>
      <c r="S13" s="25">
        <f>3973948.77</f>
        <v>3973948.77</v>
      </c>
      <c r="T13" s="25"/>
      <c r="U13" s="25"/>
      <c r="V13" s="25"/>
      <c r="W13" s="26">
        <f>338151.23</f>
        <v>338151.23</v>
      </c>
      <c r="X13" s="26"/>
    </row>
    <row r="14" spans="1:24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10000</f>
        <v>10000</v>
      </c>
      <c r="Q14" s="25"/>
      <c r="R14" s="25"/>
      <c r="S14" s="25">
        <f>6070</f>
        <v>6070</v>
      </c>
      <c r="T14" s="25"/>
      <c r="U14" s="25"/>
      <c r="V14" s="25"/>
      <c r="W14" s="26">
        <f>3930</f>
        <v>3930</v>
      </c>
      <c r="X14" s="26"/>
    </row>
    <row r="15" spans="1:24" s="1" customFormat="1" ht="24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5000</f>
        <v>5000</v>
      </c>
      <c r="Q15" s="25"/>
      <c r="R15" s="25"/>
      <c r="S15" s="25">
        <f>3105.11</f>
        <v>3105.11</v>
      </c>
      <c r="T15" s="25"/>
      <c r="U15" s="25"/>
      <c r="V15" s="25"/>
      <c r="W15" s="26">
        <f>1894.89</f>
        <v>1894.89</v>
      </c>
      <c r="X15" s="26"/>
    </row>
    <row r="16" spans="1:24" s="1" customFormat="1" ht="24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5">
        <f>233500</f>
        <v>233500</v>
      </c>
      <c r="Q16" s="25"/>
      <c r="R16" s="25"/>
      <c r="S16" s="25">
        <f>248013.35</f>
        <v>248013.35</v>
      </c>
      <c r="T16" s="25"/>
      <c r="U16" s="25"/>
      <c r="V16" s="25"/>
      <c r="W16" s="26">
        <f>-14513.35</f>
        <v>-14513.35</v>
      </c>
      <c r="X16" s="26"/>
    </row>
    <row r="17" spans="1:24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48</v>
      </c>
      <c r="O17" s="24"/>
      <c r="P17" s="25">
        <f>11000</f>
        <v>11000</v>
      </c>
      <c r="Q17" s="25"/>
      <c r="R17" s="25"/>
      <c r="S17" s="25">
        <f>15840.14</f>
        <v>15840.14</v>
      </c>
      <c r="T17" s="25"/>
      <c r="U17" s="25"/>
      <c r="V17" s="25"/>
      <c r="W17" s="26">
        <f>-4840.14</f>
        <v>-4840.14</v>
      </c>
      <c r="X17" s="26"/>
    </row>
    <row r="18" spans="1:24" s="1" customFormat="1" ht="24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50</v>
      </c>
      <c r="O18" s="24"/>
      <c r="P18" s="25">
        <f>40400</f>
        <v>40400</v>
      </c>
      <c r="Q18" s="25"/>
      <c r="R18" s="25"/>
      <c r="S18" s="25">
        <f>39723.09</f>
        <v>39723.09</v>
      </c>
      <c r="T18" s="25"/>
      <c r="U18" s="25"/>
      <c r="V18" s="25"/>
      <c r="W18" s="26">
        <f>676.91</f>
        <v>676.91</v>
      </c>
      <c r="X18" s="26"/>
    </row>
    <row r="19" spans="1:24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38080</f>
        <v>38080</v>
      </c>
      <c r="T19" s="25"/>
      <c r="U19" s="25"/>
      <c r="V19" s="25"/>
      <c r="W19" s="26">
        <f>41920</f>
        <v>41920</v>
      </c>
      <c r="X19" s="26"/>
    </row>
    <row r="20" spans="1:24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54</v>
      </c>
      <c r="O20" s="24"/>
      <c r="P20" s="25">
        <f>43307.68</f>
        <v>43307.68</v>
      </c>
      <c r="Q20" s="25"/>
      <c r="R20" s="25"/>
      <c r="S20" s="25">
        <f>43307.68</f>
        <v>43307.68</v>
      </c>
      <c r="T20" s="25"/>
      <c r="U20" s="25"/>
      <c r="V20" s="25"/>
      <c r="W20" s="26">
        <f aca="true" t="shared" si="0" ref="W20:W26">0</f>
        <v>0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56</v>
      </c>
      <c r="O21" s="24"/>
      <c r="P21" s="25">
        <f>3696</f>
        <v>3696</v>
      </c>
      <c r="Q21" s="25"/>
      <c r="R21" s="25"/>
      <c r="S21" s="25">
        <f>3696</f>
        <v>3696</v>
      </c>
      <c r="T21" s="25"/>
      <c r="U21" s="25"/>
      <c r="V21" s="25"/>
      <c r="W21" s="26">
        <f t="shared" si="0"/>
        <v>0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58</v>
      </c>
      <c r="O22" s="24"/>
      <c r="P22" s="25">
        <f>18896100</f>
        <v>18896100</v>
      </c>
      <c r="Q22" s="25"/>
      <c r="R22" s="25"/>
      <c r="S22" s="25">
        <f>18896100</f>
        <v>18896100</v>
      </c>
      <c r="T22" s="25"/>
      <c r="U22" s="25"/>
      <c r="V22" s="25"/>
      <c r="W22" s="26">
        <f t="shared" si="0"/>
        <v>0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60</v>
      </c>
      <c r="O23" s="24"/>
      <c r="P23" s="25">
        <f>6316600</f>
        <v>6316600</v>
      </c>
      <c r="Q23" s="25"/>
      <c r="R23" s="25"/>
      <c r="S23" s="25">
        <f>6316600</f>
        <v>6316600</v>
      </c>
      <c r="T23" s="25"/>
      <c r="U23" s="25"/>
      <c r="V23" s="25"/>
      <c r="W23" s="26">
        <f t="shared" si="0"/>
        <v>0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62</v>
      </c>
      <c r="O24" s="24"/>
      <c r="P24" s="25">
        <f>27180</f>
        <v>27180</v>
      </c>
      <c r="Q24" s="25"/>
      <c r="R24" s="25"/>
      <c r="S24" s="25">
        <f>27180</f>
        <v>27180</v>
      </c>
      <c r="T24" s="25"/>
      <c r="U24" s="25"/>
      <c r="V24" s="25"/>
      <c r="W24" s="26">
        <f t="shared" si="0"/>
        <v>0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64</v>
      </c>
      <c r="O25" s="24"/>
      <c r="P25" s="25">
        <f>224783.93</f>
        <v>224783.93</v>
      </c>
      <c r="Q25" s="25"/>
      <c r="R25" s="25"/>
      <c r="S25" s="25">
        <f>224783.93</f>
        <v>224783.93</v>
      </c>
      <c r="T25" s="25"/>
      <c r="U25" s="25"/>
      <c r="V25" s="25"/>
      <c r="W25" s="26">
        <f t="shared" si="0"/>
        <v>0</v>
      </c>
      <c r="X25" s="26"/>
    </row>
    <row r="26" spans="1:24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66</v>
      </c>
      <c r="O26" s="24"/>
      <c r="P26" s="25">
        <f>76200</f>
        <v>76200</v>
      </c>
      <c r="Q26" s="25"/>
      <c r="R26" s="25"/>
      <c r="S26" s="25">
        <f>76200</f>
        <v>76200</v>
      </c>
      <c r="T26" s="25"/>
      <c r="U26" s="25"/>
      <c r="V26" s="25"/>
      <c r="W26" s="26">
        <f t="shared" si="0"/>
        <v>0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68</v>
      </c>
      <c r="O27" s="24"/>
      <c r="P27" s="25">
        <f>41113617.01</f>
        <v>41113617.01</v>
      </c>
      <c r="Q27" s="25"/>
      <c r="R27" s="25"/>
      <c r="S27" s="25">
        <f>41113608.69</f>
        <v>41113608.69</v>
      </c>
      <c r="T27" s="25"/>
      <c r="U27" s="25"/>
      <c r="V27" s="25"/>
      <c r="W27" s="26">
        <f>8.32</f>
        <v>8.32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70</v>
      </c>
      <c r="O28" s="24"/>
      <c r="P28" s="25">
        <f>-62228.75</f>
        <v>-62228.75</v>
      </c>
      <c r="Q28" s="25"/>
      <c r="R28" s="25"/>
      <c r="S28" s="25">
        <f>-62228.75</f>
        <v>-62228.75</v>
      </c>
      <c r="T28" s="25"/>
      <c r="U28" s="25"/>
      <c r="V28" s="25"/>
      <c r="W28" s="26">
        <f>0</f>
        <v>0</v>
      </c>
      <c r="X28" s="26"/>
    </row>
    <row r="29" spans="1:24" s="1" customFormat="1" ht="13.5" customHeight="1">
      <c r="A29" s="27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1" customFormat="1" ht="13.5" customHeight="1">
      <c r="A30" s="12" t="s">
        <v>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34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25</v>
      </c>
      <c r="M31" s="13"/>
      <c r="N31" s="13" t="s">
        <v>72</v>
      </c>
      <c r="O31" s="13"/>
      <c r="P31" s="14" t="s">
        <v>27</v>
      </c>
      <c r="Q31" s="14"/>
      <c r="R31" s="14"/>
      <c r="S31" s="14" t="s">
        <v>28</v>
      </c>
      <c r="T31" s="14"/>
      <c r="U31" s="14"/>
      <c r="V31" s="14"/>
      <c r="W31" s="15" t="s">
        <v>29</v>
      </c>
      <c r="X31" s="15"/>
    </row>
    <row r="32" spans="1:24" s="1" customFormat="1" ht="13.5" customHeight="1">
      <c r="A32" s="16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31</v>
      </c>
      <c r="M32" s="16"/>
      <c r="N32" s="16" t="s">
        <v>32</v>
      </c>
      <c r="O32" s="16"/>
      <c r="P32" s="17" t="s">
        <v>33</v>
      </c>
      <c r="Q32" s="17"/>
      <c r="R32" s="17"/>
      <c r="S32" s="17" t="s">
        <v>34</v>
      </c>
      <c r="T32" s="17"/>
      <c r="U32" s="17"/>
      <c r="V32" s="17"/>
      <c r="W32" s="18" t="s">
        <v>35</v>
      </c>
      <c r="X32" s="18"/>
    </row>
    <row r="33" spans="1:24" s="1" customFormat="1" ht="13.5" customHeight="1">
      <c r="A33" s="19" t="s">
        <v>73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74</v>
      </c>
      <c r="M33" s="20"/>
      <c r="N33" s="20" t="s">
        <v>38</v>
      </c>
      <c r="O33" s="20"/>
      <c r="P33" s="21">
        <f>76011229.88</f>
        <v>76011229.88</v>
      </c>
      <c r="Q33" s="21"/>
      <c r="R33" s="21"/>
      <c r="S33" s="21">
        <f>64178644.05</f>
        <v>64178644.05</v>
      </c>
      <c r="T33" s="21"/>
      <c r="U33" s="21"/>
      <c r="V33" s="21"/>
      <c r="W33" s="22">
        <f>11832585.83</f>
        <v>11832585.83</v>
      </c>
      <c r="X33" s="22"/>
    </row>
    <row r="34" spans="1:24" s="1" customFormat="1" ht="13.5" customHeight="1">
      <c r="A34" s="28" t="s">
        <v>75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9" t="s">
        <v>74</v>
      </c>
      <c r="M34" s="29"/>
      <c r="N34" s="29" t="s">
        <v>76</v>
      </c>
      <c r="O34" s="29"/>
      <c r="P34" s="30">
        <f>1553132.02</f>
        <v>1553132.02</v>
      </c>
      <c r="Q34" s="30"/>
      <c r="R34" s="30"/>
      <c r="S34" s="30">
        <f>1527722.55</f>
        <v>1527722.55</v>
      </c>
      <c r="T34" s="30"/>
      <c r="U34" s="30"/>
      <c r="V34" s="30"/>
      <c r="W34" s="31">
        <f>25409.47</f>
        <v>25409.47</v>
      </c>
      <c r="X34" s="31"/>
    </row>
    <row r="35" spans="1:24" s="1" customFormat="1" ht="13.5" customHeight="1">
      <c r="A35" s="28" t="s">
        <v>77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 t="s">
        <v>74</v>
      </c>
      <c r="M35" s="29"/>
      <c r="N35" s="29" t="s">
        <v>78</v>
      </c>
      <c r="O35" s="29"/>
      <c r="P35" s="30">
        <f>344827.21</f>
        <v>344827.21</v>
      </c>
      <c r="Q35" s="30"/>
      <c r="R35" s="30"/>
      <c r="S35" s="30">
        <f>340939.56</f>
        <v>340939.56</v>
      </c>
      <c r="T35" s="30"/>
      <c r="U35" s="30"/>
      <c r="V35" s="30"/>
      <c r="W35" s="31">
        <f>3887.65</f>
        <v>3887.65</v>
      </c>
      <c r="X35" s="31"/>
    </row>
    <row r="36" spans="1:24" s="1" customFormat="1" ht="13.5" customHeight="1">
      <c r="A36" s="28" t="s">
        <v>75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 t="s">
        <v>74</v>
      </c>
      <c r="M36" s="29"/>
      <c r="N36" s="29" t="s">
        <v>79</v>
      </c>
      <c r="O36" s="29"/>
      <c r="P36" s="30">
        <f>9372947.23</f>
        <v>9372947.23</v>
      </c>
      <c r="Q36" s="30"/>
      <c r="R36" s="30"/>
      <c r="S36" s="30">
        <f>9196467.28</f>
        <v>9196467.28</v>
      </c>
      <c r="T36" s="30"/>
      <c r="U36" s="30"/>
      <c r="V36" s="30"/>
      <c r="W36" s="31">
        <f>176479.95</f>
        <v>176479.95</v>
      </c>
      <c r="X36" s="31"/>
    </row>
    <row r="37" spans="1:24" s="1" customFormat="1" ht="13.5" customHeight="1">
      <c r="A37" s="28" t="s">
        <v>77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 t="s">
        <v>74</v>
      </c>
      <c r="M37" s="29"/>
      <c r="N37" s="29" t="s">
        <v>80</v>
      </c>
      <c r="O37" s="29"/>
      <c r="P37" s="30">
        <f>2862360.91</f>
        <v>2862360.91</v>
      </c>
      <c r="Q37" s="30"/>
      <c r="R37" s="30"/>
      <c r="S37" s="30">
        <f>2806072.03</f>
        <v>2806072.03</v>
      </c>
      <c r="T37" s="30"/>
      <c r="U37" s="30"/>
      <c r="V37" s="30"/>
      <c r="W37" s="31">
        <f>56288.88</f>
        <v>56288.88</v>
      </c>
      <c r="X37" s="31"/>
    </row>
    <row r="38" spans="1:24" s="1" customFormat="1" ht="13.5" customHeight="1">
      <c r="A38" s="28" t="s">
        <v>81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 t="s">
        <v>74</v>
      </c>
      <c r="M38" s="29"/>
      <c r="N38" s="29" t="s">
        <v>82</v>
      </c>
      <c r="O38" s="29"/>
      <c r="P38" s="30">
        <f>3000</f>
        <v>3000</v>
      </c>
      <c r="Q38" s="30"/>
      <c r="R38" s="30"/>
      <c r="S38" s="30">
        <f>3000</f>
        <v>3000</v>
      </c>
      <c r="T38" s="30"/>
      <c r="U38" s="30"/>
      <c r="V38" s="30"/>
      <c r="W38" s="31">
        <f>0</f>
        <v>0</v>
      </c>
      <c r="X38" s="31"/>
    </row>
    <row r="39" spans="1:24" s="1" customFormat="1" ht="13.5" customHeight="1">
      <c r="A39" s="28" t="s">
        <v>83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 t="s">
        <v>74</v>
      </c>
      <c r="M39" s="29"/>
      <c r="N39" s="29" t="s">
        <v>84</v>
      </c>
      <c r="O39" s="29"/>
      <c r="P39" s="30">
        <f>1398</f>
        <v>1398</v>
      </c>
      <c r="Q39" s="30"/>
      <c r="R39" s="30"/>
      <c r="S39" s="30">
        <f>1398</f>
        <v>1398</v>
      </c>
      <c r="T39" s="30"/>
      <c r="U39" s="30"/>
      <c r="V39" s="30"/>
      <c r="W39" s="31">
        <f>0</f>
        <v>0</v>
      </c>
      <c r="X39" s="31"/>
    </row>
    <row r="40" spans="1:24" s="1" customFormat="1" ht="13.5" customHeight="1">
      <c r="A40" s="28" t="s">
        <v>85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 t="s">
        <v>74</v>
      </c>
      <c r="M40" s="29"/>
      <c r="N40" s="29" t="s">
        <v>86</v>
      </c>
      <c r="O40" s="29"/>
      <c r="P40" s="30">
        <f>270</f>
        <v>270</v>
      </c>
      <c r="Q40" s="30"/>
      <c r="R40" s="30"/>
      <c r="S40" s="30">
        <f>270</f>
        <v>270</v>
      </c>
      <c r="T40" s="30"/>
      <c r="U40" s="30"/>
      <c r="V40" s="30"/>
      <c r="W40" s="31">
        <f>0</f>
        <v>0</v>
      </c>
      <c r="X40" s="31"/>
    </row>
    <row r="41" spans="1:24" s="1" customFormat="1" ht="13.5" customHeight="1">
      <c r="A41" s="28" t="s">
        <v>87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 t="s">
        <v>74</v>
      </c>
      <c r="M41" s="29"/>
      <c r="N41" s="29" t="s">
        <v>88</v>
      </c>
      <c r="O41" s="29"/>
      <c r="P41" s="30">
        <f>4205</f>
        <v>4205</v>
      </c>
      <c r="Q41" s="30"/>
      <c r="R41" s="30"/>
      <c r="S41" s="30">
        <f>4204.17</f>
        <v>4204.17</v>
      </c>
      <c r="T41" s="30"/>
      <c r="U41" s="30"/>
      <c r="V41" s="30"/>
      <c r="W41" s="31">
        <f>0.83</f>
        <v>0.83</v>
      </c>
      <c r="X41" s="31"/>
    </row>
    <row r="42" spans="1:24" s="1" customFormat="1" ht="13.5" customHeight="1">
      <c r="A42" s="28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 t="s">
        <v>74</v>
      </c>
      <c r="M42" s="29"/>
      <c r="N42" s="29" t="s">
        <v>89</v>
      </c>
      <c r="O42" s="29"/>
      <c r="P42" s="30">
        <f>111680</f>
        <v>111680</v>
      </c>
      <c r="Q42" s="30"/>
      <c r="R42" s="30"/>
      <c r="S42" s="30">
        <f>107177</f>
        <v>107177</v>
      </c>
      <c r="T42" s="30"/>
      <c r="U42" s="30"/>
      <c r="V42" s="30"/>
      <c r="W42" s="31">
        <f>4503</f>
        <v>4503</v>
      </c>
      <c r="X42" s="31"/>
    </row>
    <row r="43" spans="1:24" s="1" customFormat="1" ht="13.5" customHeight="1">
      <c r="A43" s="28" t="s">
        <v>90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 t="s">
        <v>74</v>
      </c>
      <c r="M43" s="29"/>
      <c r="N43" s="29" t="s">
        <v>91</v>
      </c>
      <c r="O43" s="29"/>
      <c r="P43" s="30">
        <f>205660</f>
        <v>205660</v>
      </c>
      <c r="Q43" s="30"/>
      <c r="R43" s="30"/>
      <c r="S43" s="30">
        <f>204981.5</f>
        <v>204981.5</v>
      </c>
      <c r="T43" s="30"/>
      <c r="U43" s="30"/>
      <c r="V43" s="30"/>
      <c r="W43" s="31">
        <f>678.5</f>
        <v>678.5</v>
      </c>
      <c r="X43" s="31"/>
    </row>
    <row r="44" spans="1:24" s="1" customFormat="1" ht="13.5" customHeight="1">
      <c r="A44" s="28" t="s">
        <v>92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 t="s">
        <v>74</v>
      </c>
      <c r="M44" s="29"/>
      <c r="N44" s="29" t="s">
        <v>93</v>
      </c>
      <c r="O44" s="29"/>
      <c r="P44" s="30">
        <f>4400</f>
        <v>4400</v>
      </c>
      <c r="Q44" s="30"/>
      <c r="R44" s="30"/>
      <c r="S44" s="30">
        <f>4400</f>
        <v>4400</v>
      </c>
      <c r="T44" s="30"/>
      <c r="U44" s="30"/>
      <c r="V44" s="30"/>
      <c r="W44" s="31">
        <f>0</f>
        <v>0</v>
      </c>
      <c r="X44" s="31"/>
    </row>
    <row r="45" spans="1:24" s="1" customFormat="1" ht="13.5" customHeight="1">
      <c r="A45" s="28" t="s">
        <v>94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 t="s">
        <v>74</v>
      </c>
      <c r="M45" s="29"/>
      <c r="N45" s="29" t="s">
        <v>95</v>
      </c>
      <c r="O45" s="29"/>
      <c r="P45" s="30">
        <f>42926.24</f>
        <v>42926.24</v>
      </c>
      <c r="Q45" s="30"/>
      <c r="R45" s="30"/>
      <c r="S45" s="30">
        <f>42926</f>
        <v>42926</v>
      </c>
      <c r="T45" s="30"/>
      <c r="U45" s="30"/>
      <c r="V45" s="30"/>
      <c r="W45" s="31">
        <f>0.24</f>
        <v>0.24</v>
      </c>
      <c r="X45" s="31"/>
    </row>
    <row r="46" spans="1:24" s="1" customFormat="1" ht="13.5" customHeight="1">
      <c r="A46" s="28" t="s">
        <v>90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 t="s">
        <v>74</v>
      </c>
      <c r="M46" s="29"/>
      <c r="N46" s="29" t="s">
        <v>96</v>
      </c>
      <c r="O46" s="29"/>
      <c r="P46" s="30">
        <f>33821</f>
        <v>33821</v>
      </c>
      <c r="Q46" s="30"/>
      <c r="R46" s="30"/>
      <c r="S46" s="30">
        <f>33428.88</f>
        <v>33428.88</v>
      </c>
      <c r="T46" s="30"/>
      <c r="U46" s="30"/>
      <c r="V46" s="30"/>
      <c r="W46" s="31">
        <f>392.12</f>
        <v>392.12</v>
      </c>
      <c r="X46" s="31"/>
    </row>
    <row r="47" spans="1:24" s="1" customFormat="1" ht="13.5" customHeight="1">
      <c r="A47" s="28" t="s">
        <v>90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 t="s">
        <v>74</v>
      </c>
      <c r="M47" s="29"/>
      <c r="N47" s="29" t="s">
        <v>97</v>
      </c>
      <c r="O47" s="29"/>
      <c r="P47" s="30">
        <f>119653.3</f>
        <v>119653.3</v>
      </c>
      <c r="Q47" s="30"/>
      <c r="R47" s="30"/>
      <c r="S47" s="32" t="s">
        <v>98</v>
      </c>
      <c r="T47" s="32"/>
      <c r="U47" s="32"/>
      <c r="V47" s="32"/>
      <c r="W47" s="31">
        <f>119653.3</f>
        <v>119653.3</v>
      </c>
      <c r="X47" s="31"/>
    </row>
    <row r="48" spans="1:24" s="1" customFormat="1" ht="13.5" customHeight="1">
      <c r="A48" s="28" t="s">
        <v>90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 t="s">
        <v>74</v>
      </c>
      <c r="M48" s="29"/>
      <c r="N48" s="29" t="s">
        <v>99</v>
      </c>
      <c r="O48" s="29"/>
      <c r="P48" s="30">
        <f>27730</f>
        <v>27730</v>
      </c>
      <c r="Q48" s="30"/>
      <c r="R48" s="30"/>
      <c r="S48" s="30">
        <f>27730</f>
        <v>27730</v>
      </c>
      <c r="T48" s="30"/>
      <c r="U48" s="30"/>
      <c r="V48" s="30"/>
      <c r="W48" s="31">
        <f aca="true" t="shared" si="1" ref="W48:W54">0</f>
        <v>0</v>
      </c>
      <c r="X48" s="31"/>
    </row>
    <row r="49" spans="1:24" s="1" customFormat="1" ht="13.5" customHeight="1">
      <c r="A49" s="28" t="s">
        <v>92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 t="s">
        <v>74</v>
      </c>
      <c r="M49" s="29"/>
      <c r="N49" s="29" t="s">
        <v>100</v>
      </c>
      <c r="O49" s="29"/>
      <c r="P49" s="30">
        <f>29082</f>
        <v>29082</v>
      </c>
      <c r="Q49" s="30"/>
      <c r="R49" s="30"/>
      <c r="S49" s="30">
        <f>29082</f>
        <v>29082</v>
      </c>
      <c r="T49" s="30"/>
      <c r="U49" s="30"/>
      <c r="V49" s="30"/>
      <c r="W49" s="31">
        <f t="shared" si="1"/>
        <v>0</v>
      </c>
      <c r="X49" s="31"/>
    </row>
    <row r="50" spans="1:24" s="1" customFormat="1" ht="13.5" customHeight="1">
      <c r="A50" s="28" t="s">
        <v>94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 t="s">
        <v>74</v>
      </c>
      <c r="M50" s="29"/>
      <c r="N50" s="29" t="s">
        <v>101</v>
      </c>
      <c r="O50" s="29"/>
      <c r="P50" s="30">
        <f>48188</f>
        <v>48188</v>
      </c>
      <c r="Q50" s="30"/>
      <c r="R50" s="30"/>
      <c r="S50" s="30">
        <f>48188</f>
        <v>48188</v>
      </c>
      <c r="T50" s="30"/>
      <c r="U50" s="30"/>
      <c r="V50" s="30"/>
      <c r="W50" s="31">
        <f t="shared" si="1"/>
        <v>0</v>
      </c>
      <c r="X50" s="31"/>
    </row>
    <row r="51" spans="1:24" s="1" customFormat="1" ht="13.5" customHeight="1">
      <c r="A51" s="28" t="s">
        <v>90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 t="s">
        <v>74</v>
      </c>
      <c r="M51" s="29"/>
      <c r="N51" s="29" t="s">
        <v>102</v>
      </c>
      <c r="O51" s="29"/>
      <c r="P51" s="30">
        <f>2407.7</f>
        <v>2407.7</v>
      </c>
      <c r="Q51" s="30"/>
      <c r="R51" s="30"/>
      <c r="S51" s="30">
        <f>2407.7</f>
        <v>2407.7</v>
      </c>
      <c r="T51" s="30"/>
      <c r="U51" s="30"/>
      <c r="V51" s="30"/>
      <c r="W51" s="31">
        <f t="shared" si="1"/>
        <v>0</v>
      </c>
      <c r="X51" s="31"/>
    </row>
    <row r="52" spans="1:24" s="1" customFormat="1" ht="13.5" customHeight="1">
      <c r="A52" s="28" t="s">
        <v>90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 t="s">
        <v>74</v>
      </c>
      <c r="M52" s="29"/>
      <c r="N52" s="29" t="s">
        <v>103</v>
      </c>
      <c r="O52" s="29"/>
      <c r="P52" s="30">
        <f>300000</f>
        <v>300000</v>
      </c>
      <c r="Q52" s="30"/>
      <c r="R52" s="30"/>
      <c r="S52" s="30">
        <f>300000</f>
        <v>300000</v>
      </c>
      <c r="T52" s="30"/>
      <c r="U52" s="30"/>
      <c r="V52" s="30"/>
      <c r="W52" s="31">
        <f t="shared" si="1"/>
        <v>0</v>
      </c>
      <c r="X52" s="31"/>
    </row>
    <row r="53" spans="1:24" s="1" customFormat="1" ht="13.5" customHeight="1">
      <c r="A53" s="28" t="s">
        <v>81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 t="s">
        <v>74</v>
      </c>
      <c r="M53" s="29"/>
      <c r="N53" s="29" t="s">
        <v>104</v>
      </c>
      <c r="O53" s="29"/>
      <c r="P53" s="30">
        <f>875266.3</f>
        <v>875266.3</v>
      </c>
      <c r="Q53" s="30"/>
      <c r="R53" s="30"/>
      <c r="S53" s="30">
        <f>875266.3</f>
        <v>875266.3</v>
      </c>
      <c r="T53" s="30"/>
      <c r="U53" s="30"/>
      <c r="V53" s="30"/>
      <c r="W53" s="31">
        <f t="shared" si="1"/>
        <v>0</v>
      </c>
      <c r="X53" s="31"/>
    </row>
    <row r="54" spans="1:24" s="1" customFormat="1" ht="13.5" customHeight="1">
      <c r="A54" s="28" t="s">
        <v>83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 t="s">
        <v>74</v>
      </c>
      <c r="M54" s="29"/>
      <c r="N54" s="29" t="s">
        <v>105</v>
      </c>
      <c r="O54" s="29"/>
      <c r="P54" s="30">
        <f>54000</f>
        <v>54000</v>
      </c>
      <c r="Q54" s="30"/>
      <c r="R54" s="30"/>
      <c r="S54" s="30">
        <f>54000</f>
        <v>54000</v>
      </c>
      <c r="T54" s="30"/>
      <c r="U54" s="30"/>
      <c r="V54" s="30"/>
      <c r="W54" s="31">
        <f t="shared" si="1"/>
        <v>0</v>
      </c>
      <c r="X54" s="31"/>
    </row>
    <row r="55" spans="1:24" s="1" customFormat="1" ht="13.5" customHeight="1">
      <c r="A55" s="28" t="s">
        <v>106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 t="s">
        <v>74</v>
      </c>
      <c r="M55" s="29"/>
      <c r="N55" s="29" t="s">
        <v>107</v>
      </c>
      <c r="O55" s="29"/>
      <c r="P55" s="30">
        <f>284363.25</f>
        <v>284363.25</v>
      </c>
      <c r="Q55" s="30"/>
      <c r="R55" s="30"/>
      <c r="S55" s="30">
        <f>277943.94</f>
        <v>277943.94</v>
      </c>
      <c r="T55" s="30"/>
      <c r="U55" s="30"/>
      <c r="V55" s="30"/>
      <c r="W55" s="31">
        <f>6419.31</f>
        <v>6419.31</v>
      </c>
      <c r="X55" s="31"/>
    </row>
    <row r="56" spans="1:24" s="1" customFormat="1" ht="13.5" customHeight="1">
      <c r="A56" s="28" t="s">
        <v>108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 t="s">
        <v>74</v>
      </c>
      <c r="M56" s="29"/>
      <c r="N56" s="29" t="s">
        <v>109</v>
      </c>
      <c r="O56" s="29"/>
      <c r="P56" s="30">
        <f>305101.14</f>
        <v>305101.14</v>
      </c>
      <c r="Q56" s="30"/>
      <c r="R56" s="30"/>
      <c r="S56" s="30">
        <f>304946.14</f>
        <v>304946.14</v>
      </c>
      <c r="T56" s="30"/>
      <c r="U56" s="30"/>
      <c r="V56" s="30"/>
      <c r="W56" s="31">
        <f>155</f>
        <v>155</v>
      </c>
      <c r="X56" s="31"/>
    </row>
    <row r="57" spans="1:24" s="1" customFormat="1" ht="13.5" customHeight="1">
      <c r="A57" s="28" t="s">
        <v>85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9" t="s">
        <v>74</v>
      </c>
      <c r="M57" s="29"/>
      <c r="N57" s="29" t="s">
        <v>110</v>
      </c>
      <c r="O57" s="29"/>
      <c r="P57" s="30">
        <f>39270.71</f>
        <v>39270.71</v>
      </c>
      <c r="Q57" s="30"/>
      <c r="R57" s="30"/>
      <c r="S57" s="30">
        <f>39270.18</f>
        <v>39270.18</v>
      </c>
      <c r="T57" s="30"/>
      <c r="U57" s="30"/>
      <c r="V57" s="30"/>
      <c r="W57" s="31">
        <f>0.53</f>
        <v>0.53</v>
      </c>
      <c r="X57" s="31"/>
    </row>
    <row r="58" spans="1:24" s="1" customFormat="1" ht="13.5" customHeight="1">
      <c r="A58" s="28" t="s">
        <v>92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 t="s">
        <v>74</v>
      </c>
      <c r="M58" s="29"/>
      <c r="N58" s="29" t="s">
        <v>111</v>
      </c>
      <c r="O58" s="29"/>
      <c r="P58" s="30">
        <f>34340</f>
        <v>34340</v>
      </c>
      <c r="Q58" s="30"/>
      <c r="R58" s="30"/>
      <c r="S58" s="30">
        <f>34340</f>
        <v>34340</v>
      </c>
      <c r="T58" s="30"/>
      <c r="U58" s="30"/>
      <c r="V58" s="30"/>
      <c r="W58" s="31">
        <f>0</f>
        <v>0</v>
      </c>
      <c r="X58" s="31"/>
    </row>
    <row r="59" spans="1:24" s="1" customFormat="1" ht="13.5" customHeight="1">
      <c r="A59" s="28" t="s">
        <v>94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 t="s">
        <v>74</v>
      </c>
      <c r="M59" s="29"/>
      <c r="N59" s="29" t="s">
        <v>112</v>
      </c>
      <c r="O59" s="29"/>
      <c r="P59" s="30">
        <f>708928.47</f>
        <v>708928.47</v>
      </c>
      <c r="Q59" s="30"/>
      <c r="R59" s="30"/>
      <c r="S59" s="30">
        <f>708911.17</f>
        <v>708911.17</v>
      </c>
      <c r="T59" s="30"/>
      <c r="U59" s="30"/>
      <c r="V59" s="30"/>
      <c r="W59" s="31">
        <f>17.3</f>
        <v>17.3</v>
      </c>
      <c r="X59" s="31"/>
    </row>
    <row r="60" spans="1:24" s="1" customFormat="1" ht="13.5" customHeight="1">
      <c r="A60" s="28" t="s">
        <v>90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 t="s">
        <v>74</v>
      </c>
      <c r="M60" s="29"/>
      <c r="N60" s="29" t="s">
        <v>113</v>
      </c>
      <c r="O60" s="29"/>
      <c r="P60" s="30">
        <f>47748</f>
        <v>47748</v>
      </c>
      <c r="Q60" s="30"/>
      <c r="R60" s="30"/>
      <c r="S60" s="30">
        <f>47748</f>
        <v>47748</v>
      </c>
      <c r="T60" s="30"/>
      <c r="U60" s="30"/>
      <c r="V60" s="30"/>
      <c r="W60" s="31">
        <f>0</f>
        <v>0</v>
      </c>
      <c r="X60" s="31"/>
    </row>
    <row r="61" spans="1:24" s="1" customFormat="1" ht="13.5" customHeight="1">
      <c r="A61" s="28" t="s">
        <v>90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9" t="s">
        <v>74</v>
      </c>
      <c r="M61" s="29"/>
      <c r="N61" s="29" t="s">
        <v>114</v>
      </c>
      <c r="O61" s="29"/>
      <c r="P61" s="30">
        <f>29178</f>
        <v>29178</v>
      </c>
      <c r="Q61" s="30"/>
      <c r="R61" s="30"/>
      <c r="S61" s="30">
        <f>28977</f>
        <v>28977</v>
      </c>
      <c r="T61" s="30"/>
      <c r="U61" s="30"/>
      <c r="V61" s="30"/>
      <c r="W61" s="31">
        <f>201</f>
        <v>201</v>
      </c>
      <c r="X61" s="31"/>
    </row>
    <row r="62" spans="1:24" s="1" customFormat="1" ht="13.5" customHeight="1">
      <c r="A62" s="28" t="s">
        <v>90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 t="s">
        <v>74</v>
      </c>
      <c r="M62" s="29"/>
      <c r="N62" s="29" t="s">
        <v>115</v>
      </c>
      <c r="O62" s="29"/>
      <c r="P62" s="30">
        <f>15003.9</f>
        <v>15003.9</v>
      </c>
      <c r="Q62" s="30"/>
      <c r="R62" s="30"/>
      <c r="S62" s="30">
        <f>15000</f>
        <v>15000</v>
      </c>
      <c r="T62" s="30"/>
      <c r="U62" s="30"/>
      <c r="V62" s="30"/>
      <c r="W62" s="31">
        <f>3.9</f>
        <v>3.9</v>
      </c>
      <c r="X62" s="31"/>
    </row>
    <row r="63" spans="1:24" s="1" customFormat="1" ht="13.5" customHeight="1">
      <c r="A63" s="28" t="s">
        <v>83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 t="s">
        <v>74</v>
      </c>
      <c r="M63" s="29"/>
      <c r="N63" s="29" t="s">
        <v>116</v>
      </c>
      <c r="O63" s="29"/>
      <c r="P63" s="30">
        <f>36000</f>
        <v>36000</v>
      </c>
      <c r="Q63" s="30"/>
      <c r="R63" s="30"/>
      <c r="S63" s="30">
        <f>36000</f>
        <v>36000</v>
      </c>
      <c r="T63" s="30"/>
      <c r="U63" s="30"/>
      <c r="V63" s="30"/>
      <c r="W63" s="31">
        <f aca="true" t="shared" si="2" ref="W63:W68">0</f>
        <v>0</v>
      </c>
      <c r="X63" s="31"/>
    </row>
    <row r="64" spans="1:24" s="1" customFormat="1" ht="13.5" customHeight="1">
      <c r="A64" s="28" t="s">
        <v>75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 t="s">
        <v>74</v>
      </c>
      <c r="M64" s="29"/>
      <c r="N64" s="29" t="s">
        <v>117</v>
      </c>
      <c r="O64" s="29"/>
      <c r="P64" s="30">
        <f>172645.07</f>
        <v>172645.07</v>
      </c>
      <c r="Q64" s="30"/>
      <c r="R64" s="30"/>
      <c r="S64" s="30">
        <f>172645.07</f>
        <v>172645.07</v>
      </c>
      <c r="T64" s="30"/>
      <c r="U64" s="30"/>
      <c r="V64" s="30"/>
      <c r="W64" s="31">
        <f t="shared" si="2"/>
        <v>0</v>
      </c>
      <c r="X64" s="31"/>
    </row>
    <row r="65" spans="1:24" s="1" customFormat="1" ht="13.5" customHeight="1">
      <c r="A65" s="28" t="s">
        <v>77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 t="s">
        <v>74</v>
      </c>
      <c r="M65" s="29"/>
      <c r="N65" s="29" t="s">
        <v>118</v>
      </c>
      <c r="O65" s="29"/>
      <c r="P65" s="30">
        <f>52138.86</f>
        <v>52138.86</v>
      </c>
      <c r="Q65" s="30"/>
      <c r="R65" s="30"/>
      <c r="S65" s="30">
        <f>52138.86</f>
        <v>52138.86</v>
      </c>
      <c r="T65" s="30"/>
      <c r="U65" s="30"/>
      <c r="V65" s="30"/>
      <c r="W65" s="31">
        <f t="shared" si="2"/>
        <v>0</v>
      </c>
      <c r="X65" s="31"/>
    </row>
    <row r="66" spans="1:24" s="1" customFormat="1" ht="13.5" customHeight="1">
      <c r="A66" s="28" t="s">
        <v>75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9" t="s">
        <v>74</v>
      </c>
      <c r="M66" s="29"/>
      <c r="N66" s="29" t="s">
        <v>119</v>
      </c>
      <c r="O66" s="29"/>
      <c r="P66" s="30">
        <f>20875.56</f>
        <v>20875.56</v>
      </c>
      <c r="Q66" s="30"/>
      <c r="R66" s="30"/>
      <c r="S66" s="30">
        <f>20875.56</f>
        <v>20875.56</v>
      </c>
      <c r="T66" s="30"/>
      <c r="U66" s="30"/>
      <c r="V66" s="30"/>
      <c r="W66" s="31">
        <f t="shared" si="2"/>
        <v>0</v>
      </c>
      <c r="X66" s="31"/>
    </row>
    <row r="67" spans="1:24" s="1" customFormat="1" ht="13.5" customHeight="1">
      <c r="A67" s="28" t="s">
        <v>77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 t="s">
        <v>74</v>
      </c>
      <c r="M67" s="29"/>
      <c r="N67" s="29" t="s">
        <v>120</v>
      </c>
      <c r="O67" s="29"/>
      <c r="P67" s="30">
        <f>6304.44</f>
        <v>6304.44</v>
      </c>
      <c r="Q67" s="30"/>
      <c r="R67" s="30"/>
      <c r="S67" s="30">
        <f>6304.44</f>
        <v>6304.44</v>
      </c>
      <c r="T67" s="30"/>
      <c r="U67" s="30"/>
      <c r="V67" s="30"/>
      <c r="W67" s="31">
        <f t="shared" si="2"/>
        <v>0</v>
      </c>
      <c r="X67" s="31"/>
    </row>
    <row r="68" spans="1:24" s="1" customFormat="1" ht="13.5" customHeight="1">
      <c r="A68" s="28" t="s">
        <v>94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 t="s">
        <v>74</v>
      </c>
      <c r="M68" s="29"/>
      <c r="N68" s="29" t="s">
        <v>121</v>
      </c>
      <c r="O68" s="29"/>
      <c r="P68" s="30">
        <f>7000</f>
        <v>7000</v>
      </c>
      <c r="Q68" s="30"/>
      <c r="R68" s="30"/>
      <c r="S68" s="30">
        <f>7000</f>
        <v>7000</v>
      </c>
      <c r="T68" s="30"/>
      <c r="U68" s="30"/>
      <c r="V68" s="30"/>
      <c r="W68" s="31">
        <f t="shared" si="2"/>
        <v>0</v>
      </c>
      <c r="X68" s="31"/>
    </row>
    <row r="69" spans="1:24" s="1" customFormat="1" ht="13.5" customHeight="1">
      <c r="A69" s="28" t="s">
        <v>108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 t="s">
        <v>74</v>
      </c>
      <c r="M69" s="29"/>
      <c r="N69" s="29" t="s">
        <v>122</v>
      </c>
      <c r="O69" s="29"/>
      <c r="P69" s="30">
        <f>7778844.4</f>
        <v>7778844.4</v>
      </c>
      <c r="Q69" s="30"/>
      <c r="R69" s="30"/>
      <c r="S69" s="30">
        <f>12000</f>
        <v>12000</v>
      </c>
      <c r="T69" s="30"/>
      <c r="U69" s="30"/>
      <c r="V69" s="30"/>
      <c r="W69" s="31">
        <f>7766844.4</f>
        <v>7766844.4</v>
      </c>
      <c r="X69" s="31"/>
    </row>
    <row r="70" spans="1:24" s="1" customFormat="1" ht="13.5" customHeight="1">
      <c r="A70" s="28" t="s">
        <v>85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9" t="s">
        <v>74</v>
      </c>
      <c r="M70" s="29"/>
      <c r="N70" s="29" t="s">
        <v>123</v>
      </c>
      <c r="O70" s="29"/>
      <c r="P70" s="30">
        <f>549500</f>
        <v>549500</v>
      </c>
      <c r="Q70" s="30"/>
      <c r="R70" s="30"/>
      <c r="S70" s="30">
        <f>549491.68</f>
        <v>549491.68</v>
      </c>
      <c r="T70" s="30"/>
      <c r="U70" s="30"/>
      <c r="V70" s="30"/>
      <c r="W70" s="31">
        <f>8.32</f>
        <v>8.32</v>
      </c>
      <c r="X70" s="31"/>
    </row>
    <row r="71" spans="1:24" s="1" customFormat="1" ht="13.5" customHeight="1">
      <c r="A71" s="28" t="s">
        <v>94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9" t="s">
        <v>74</v>
      </c>
      <c r="M71" s="29"/>
      <c r="N71" s="29" t="s">
        <v>124</v>
      </c>
      <c r="O71" s="29"/>
      <c r="P71" s="30">
        <f>15000</f>
        <v>15000</v>
      </c>
      <c r="Q71" s="30"/>
      <c r="R71" s="30"/>
      <c r="S71" s="30">
        <f>15000</f>
        <v>15000</v>
      </c>
      <c r="T71" s="30"/>
      <c r="U71" s="30"/>
      <c r="V71" s="30"/>
      <c r="W71" s="31">
        <f>0</f>
        <v>0</v>
      </c>
      <c r="X71" s="31"/>
    </row>
    <row r="72" spans="1:24" s="1" customFormat="1" ht="13.5" customHeight="1">
      <c r="A72" s="28" t="s">
        <v>85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 t="s">
        <v>74</v>
      </c>
      <c r="M72" s="29"/>
      <c r="N72" s="29" t="s">
        <v>125</v>
      </c>
      <c r="O72" s="29"/>
      <c r="P72" s="30">
        <f>5823</f>
        <v>5823</v>
      </c>
      <c r="Q72" s="30"/>
      <c r="R72" s="30"/>
      <c r="S72" s="30">
        <f>5823</f>
        <v>5823</v>
      </c>
      <c r="T72" s="30"/>
      <c r="U72" s="30"/>
      <c r="V72" s="30"/>
      <c r="W72" s="31">
        <f>0</f>
        <v>0</v>
      </c>
      <c r="X72" s="31"/>
    </row>
    <row r="73" spans="1:24" s="1" customFormat="1" ht="13.5" customHeight="1">
      <c r="A73" s="28" t="s">
        <v>85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 t="s">
        <v>74</v>
      </c>
      <c r="M73" s="29"/>
      <c r="N73" s="29" t="s">
        <v>126</v>
      </c>
      <c r="O73" s="29"/>
      <c r="P73" s="30">
        <f>13590</f>
        <v>13590</v>
      </c>
      <c r="Q73" s="30"/>
      <c r="R73" s="30"/>
      <c r="S73" s="30">
        <f>13590</f>
        <v>13590</v>
      </c>
      <c r="T73" s="30"/>
      <c r="U73" s="30"/>
      <c r="V73" s="30"/>
      <c r="W73" s="31">
        <f>0</f>
        <v>0</v>
      </c>
      <c r="X73" s="31"/>
    </row>
    <row r="74" spans="1:24" s="1" customFormat="1" ht="13.5" customHeight="1">
      <c r="A74" s="28" t="s">
        <v>75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 t="s">
        <v>74</v>
      </c>
      <c r="M74" s="29"/>
      <c r="N74" s="29" t="s">
        <v>127</v>
      </c>
      <c r="O74" s="29"/>
      <c r="P74" s="30">
        <f>48822.67</f>
        <v>48822.67</v>
      </c>
      <c r="Q74" s="30"/>
      <c r="R74" s="30"/>
      <c r="S74" s="30">
        <f>48822.67</f>
        <v>48822.67</v>
      </c>
      <c r="T74" s="30"/>
      <c r="U74" s="30"/>
      <c r="V74" s="30"/>
      <c r="W74" s="31">
        <f>0</f>
        <v>0</v>
      </c>
      <c r="X74" s="31"/>
    </row>
    <row r="75" spans="1:24" s="1" customFormat="1" ht="13.5" customHeight="1">
      <c r="A75" s="28" t="s">
        <v>77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9" t="s">
        <v>74</v>
      </c>
      <c r="M75" s="29"/>
      <c r="N75" s="29" t="s">
        <v>128</v>
      </c>
      <c r="O75" s="29"/>
      <c r="P75" s="30">
        <f>14744.46</f>
        <v>14744.46</v>
      </c>
      <c r="Q75" s="30"/>
      <c r="R75" s="30"/>
      <c r="S75" s="30">
        <f>14744.46</f>
        <v>14744.46</v>
      </c>
      <c r="T75" s="30"/>
      <c r="U75" s="30"/>
      <c r="V75" s="30"/>
      <c r="W75" s="31">
        <f>0</f>
        <v>0</v>
      </c>
      <c r="X75" s="31"/>
    </row>
    <row r="76" spans="1:24" s="1" customFormat="1" ht="13.5" customHeight="1">
      <c r="A76" s="28" t="s">
        <v>108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9" t="s">
        <v>74</v>
      </c>
      <c r="M76" s="29"/>
      <c r="N76" s="29" t="s">
        <v>129</v>
      </c>
      <c r="O76" s="29"/>
      <c r="P76" s="30">
        <f>2216189.49</f>
        <v>2216189.49</v>
      </c>
      <c r="Q76" s="30"/>
      <c r="R76" s="30"/>
      <c r="S76" s="30">
        <f>2147231.75</f>
        <v>2147231.75</v>
      </c>
      <c r="T76" s="30"/>
      <c r="U76" s="30"/>
      <c r="V76" s="30"/>
      <c r="W76" s="31">
        <f>68957.74</f>
        <v>68957.74</v>
      </c>
      <c r="X76" s="31"/>
    </row>
    <row r="77" spans="1:24" s="1" customFormat="1" ht="13.5" customHeight="1">
      <c r="A77" s="28" t="s">
        <v>85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9" t="s">
        <v>74</v>
      </c>
      <c r="M77" s="29"/>
      <c r="N77" s="29" t="s">
        <v>130</v>
      </c>
      <c r="O77" s="29"/>
      <c r="P77" s="30">
        <f>9500</f>
        <v>9500</v>
      </c>
      <c r="Q77" s="30"/>
      <c r="R77" s="30"/>
      <c r="S77" s="30">
        <f>9500</f>
        <v>9500</v>
      </c>
      <c r="T77" s="30"/>
      <c r="U77" s="30"/>
      <c r="V77" s="30"/>
      <c r="W77" s="31">
        <f>0</f>
        <v>0</v>
      </c>
      <c r="X77" s="31"/>
    </row>
    <row r="78" spans="1:24" s="1" customFormat="1" ht="13.5" customHeight="1">
      <c r="A78" s="28" t="s">
        <v>92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9" t="s">
        <v>74</v>
      </c>
      <c r="M78" s="29"/>
      <c r="N78" s="29" t="s">
        <v>131</v>
      </c>
      <c r="O78" s="29"/>
      <c r="P78" s="30">
        <f>59367</f>
        <v>59367</v>
      </c>
      <c r="Q78" s="30"/>
      <c r="R78" s="30"/>
      <c r="S78" s="32" t="s">
        <v>98</v>
      </c>
      <c r="T78" s="32"/>
      <c r="U78" s="32"/>
      <c r="V78" s="32"/>
      <c r="W78" s="31">
        <f>59367</f>
        <v>59367</v>
      </c>
      <c r="X78" s="31"/>
    </row>
    <row r="79" spans="1:24" s="1" customFormat="1" ht="13.5" customHeight="1">
      <c r="A79" s="28" t="s">
        <v>94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 t="s">
        <v>74</v>
      </c>
      <c r="M79" s="29"/>
      <c r="N79" s="29" t="s">
        <v>132</v>
      </c>
      <c r="O79" s="29"/>
      <c r="P79" s="30">
        <f>20000</f>
        <v>20000</v>
      </c>
      <c r="Q79" s="30"/>
      <c r="R79" s="30"/>
      <c r="S79" s="30">
        <f>20000</f>
        <v>20000</v>
      </c>
      <c r="T79" s="30"/>
      <c r="U79" s="30"/>
      <c r="V79" s="30"/>
      <c r="W79" s="31">
        <f>0</f>
        <v>0</v>
      </c>
      <c r="X79" s="31"/>
    </row>
    <row r="80" spans="1:24" s="1" customFormat="1" ht="13.5" customHeight="1">
      <c r="A80" s="28" t="s">
        <v>108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9" t="s">
        <v>74</v>
      </c>
      <c r="M80" s="29"/>
      <c r="N80" s="29" t="s">
        <v>133</v>
      </c>
      <c r="O80" s="29"/>
      <c r="P80" s="30">
        <f>208346.7</f>
        <v>208346.7</v>
      </c>
      <c r="Q80" s="30"/>
      <c r="R80" s="30"/>
      <c r="S80" s="30">
        <f>208346.7</f>
        <v>208346.7</v>
      </c>
      <c r="T80" s="30"/>
      <c r="U80" s="30"/>
      <c r="V80" s="30"/>
      <c r="W80" s="31">
        <f>0</f>
        <v>0</v>
      </c>
      <c r="X80" s="31"/>
    </row>
    <row r="81" spans="1:24" s="1" customFormat="1" ht="13.5" customHeight="1">
      <c r="A81" s="28" t="s">
        <v>87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9" t="s">
        <v>74</v>
      </c>
      <c r="M81" s="29"/>
      <c r="N81" s="29" t="s">
        <v>134</v>
      </c>
      <c r="O81" s="29"/>
      <c r="P81" s="30">
        <f>303480</f>
        <v>303480</v>
      </c>
      <c r="Q81" s="30"/>
      <c r="R81" s="30"/>
      <c r="S81" s="30">
        <f>283005.88</f>
        <v>283005.88</v>
      </c>
      <c r="T81" s="30"/>
      <c r="U81" s="30"/>
      <c r="V81" s="30"/>
      <c r="W81" s="31">
        <f>20474.12</f>
        <v>20474.12</v>
      </c>
      <c r="X81" s="31"/>
    </row>
    <row r="82" spans="1:24" s="1" customFormat="1" ht="13.5" customHeight="1">
      <c r="A82" s="28" t="s">
        <v>108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 t="s">
        <v>74</v>
      </c>
      <c r="M82" s="29"/>
      <c r="N82" s="29" t="s">
        <v>135</v>
      </c>
      <c r="O82" s="29"/>
      <c r="P82" s="30">
        <f>34411.4</f>
        <v>34411.4</v>
      </c>
      <c r="Q82" s="30"/>
      <c r="R82" s="30"/>
      <c r="S82" s="30">
        <f>32411.4</f>
        <v>32411.4</v>
      </c>
      <c r="T82" s="30"/>
      <c r="U82" s="30"/>
      <c r="V82" s="30"/>
      <c r="W82" s="31">
        <f>2000</f>
        <v>2000</v>
      </c>
      <c r="X82" s="31"/>
    </row>
    <row r="83" spans="1:24" s="1" customFormat="1" ht="13.5" customHeight="1">
      <c r="A83" s="28" t="s">
        <v>85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 t="s">
        <v>74</v>
      </c>
      <c r="M83" s="29"/>
      <c r="N83" s="29" t="s">
        <v>136</v>
      </c>
      <c r="O83" s="29"/>
      <c r="P83" s="30">
        <f>464354.8</f>
        <v>464354.8</v>
      </c>
      <c r="Q83" s="30"/>
      <c r="R83" s="30"/>
      <c r="S83" s="30">
        <f>464354.8</f>
        <v>464354.8</v>
      </c>
      <c r="T83" s="30"/>
      <c r="U83" s="30"/>
      <c r="V83" s="30"/>
      <c r="W83" s="31">
        <f>0</f>
        <v>0</v>
      </c>
      <c r="X83" s="31"/>
    </row>
    <row r="84" spans="1:24" s="1" customFormat="1" ht="13.5" customHeight="1">
      <c r="A84" s="28" t="s">
        <v>92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 t="s">
        <v>74</v>
      </c>
      <c r="M84" s="29"/>
      <c r="N84" s="29" t="s">
        <v>137</v>
      </c>
      <c r="O84" s="29"/>
      <c r="P84" s="30">
        <f>1910.4</f>
        <v>1910.4</v>
      </c>
      <c r="Q84" s="30"/>
      <c r="R84" s="30"/>
      <c r="S84" s="30">
        <f>1910.4</f>
        <v>1910.4</v>
      </c>
      <c r="T84" s="30"/>
      <c r="U84" s="30"/>
      <c r="V84" s="30"/>
      <c r="W84" s="31">
        <f>0</f>
        <v>0</v>
      </c>
      <c r="X84" s="31"/>
    </row>
    <row r="85" spans="1:24" s="1" customFormat="1" ht="13.5" customHeight="1">
      <c r="A85" s="28" t="s">
        <v>94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 t="s">
        <v>74</v>
      </c>
      <c r="M85" s="29"/>
      <c r="N85" s="29" t="s">
        <v>138</v>
      </c>
      <c r="O85" s="29"/>
      <c r="P85" s="30">
        <f>86246.6</f>
        <v>86246.6</v>
      </c>
      <c r="Q85" s="30"/>
      <c r="R85" s="30"/>
      <c r="S85" s="30">
        <f>86246.6</f>
        <v>86246.6</v>
      </c>
      <c r="T85" s="30"/>
      <c r="U85" s="30"/>
      <c r="V85" s="30"/>
      <c r="W85" s="31">
        <f>0</f>
        <v>0</v>
      </c>
      <c r="X85" s="31"/>
    </row>
    <row r="86" spans="1:24" s="1" customFormat="1" ht="13.5" customHeight="1">
      <c r="A86" s="28" t="s">
        <v>108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9" t="s">
        <v>74</v>
      </c>
      <c r="M86" s="29"/>
      <c r="N86" s="29" t="s">
        <v>139</v>
      </c>
      <c r="O86" s="29"/>
      <c r="P86" s="30">
        <f>2992000</f>
        <v>2992000</v>
      </c>
      <c r="Q86" s="30"/>
      <c r="R86" s="30"/>
      <c r="S86" s="32" t="s">
        <v>98</v>
      </c>
      <c r="T86" s="32"/>
      <c r="U86" s="32"/>
      <c r="V86" s="32"/>
      <c r="W86" s="31">
        <f>2992000</f>
        <v>2992000</v>
      </c>
      <c r="X86" s="31"/>
    </row>
    <row r="87" spans="1:24" s="1" customFormat="1" ht="13.5" customHeight="1">
      <c r="A87" s="28" t="s">
        <v>85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9" t="s">
        <v>74</v>
      </c>
      <c r="M87" s="29"/>
      <c r="N87" s="29" t="s">
        <v>140</v>
      </c>
      <c r="O87" s="29"/>
      <c r="P87" s="30">
        <f>8000</f>
        <v>8000</v>
      </c>
      <c r="Q87" s="30"/>
      <c r="R87" s="30"/>
      <c r="S87" s="30">
        <f>8000</f>
        <v>8000</v>
      </c>
      <c r="T87" s="30"/>
      <c r="U87" s="30"/>
      <c r="V87" s="30"/>
      <c r="W87" s="31">
        <f>0</f>
        <v>0</v>
      </c>
      <c r="X87" s="31"/>
    </row>
    <row r="88" spans="1:24" s="1" customFormat="1" ht="13.5" customHeight="1">
      <c r="A88" s="28" t="s">
        <v>106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9" t="s">
        <v>74</v>
      </c>
      <c r="M88" s="29"/>
      <c r="N88" s="29" t="s">
        <v>141</v>
      </c>
      <c r="O88" s="29"/>
      <c r="P88" s="30">
        <f>309047.01</f>
        <v>309047.01</v>
      </c>
      <c r="Q88" s="30"/>
      <c r="R88" s="30"/>
      <c r="S88" s="30">
        <f>303244.9</f>
        <v>303244.9</v>
      </c>
      <c r="T88" s="30"/>
      <c r="U88" s="30"/>
      <c r="V88" s="30"/>
      <c r="W88" s="31">
        <f>5802.11</f>
        <v>5802.11</v>
      </c>
      <c r="X88" s="31"/>
    </row>
    <row r="89" spans="1:24" s="1" customFormat="1" ht="13.5" customHeight="1">
      <c r="A89" s="28" t="s">
        <v>108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9" t="s">
        <v>74</v>
      </c>
      <c r="M89" s="29"/>
      <c r="N89" s="29" t="s">
        <v>142</v>
      </c>
      <c r="O89" s="29"/>
      <c r="P89" s="30">
        <f>1002201.96</f>
        <v>1002201.96</v>
      </c>
      <c r="Q89" s="30"/>
      <c r="R89" s="30"/>
      <c r="S89" s="30">
        <f>1002201.96</f>
        <v>1002201.96</v>
      </c>
      <c r="T89" s="30"/>
      <c r="U89" s="30"/>
      <c r="V89" s="30"/>
      <c r="W89" s="31">
        <f>0</f>
        <v>0</v>
      </c>
      <c r="X89" s="31"/>
    </row>
    <row r="90" spans="1:24" s="1" customFormat="1" ht="13.5" customHeight="1">
      <c r="A90" s="28" t="s">
        <v>85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9" t="s">
        <v>74</v>
      </c>
      <c r="M90" s="29"/>
      <c r="N90" s="29" t="s">
        <v>143</v>
      </c>
      <c r="O90" s="29"/>
      <c r="P90" s="30">
        <f>3000</f>
        <v>3000</v>
      </c>
      <c r="Q90" s="30"/>
      <c r="R90" s="30"/>
      <c r="S90" s="30">
        <f>3000</f>
        <v>3000</v>
      </c>
      <c r="T90" s="30"/>
      <c r="U90" s="30"/>
      <c r="V90" s="30"/>
      <c r="W90" s="31">
        <f>0</f>
        <v>0</v>
      </c>
      <c r="X90" s="31"/>
    </row>
    <row r="91" spans="1:24" s="1" customFormat="1" ht="13.5" customHeight="1">
      <c r="A91" s="28" t="s">
        <v>108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9" t="s">
        <v>74</v>
      </c>
      <c r="M91" s="29"/>
      <c r="N91" s="29" t="s">
        <v>144</v>
      </c>
      <c r="O91" s="29"/>
      <c r="P91" s="30">
        <f>479170</f>
        <v>479170</v>
      </c>
      <c r="Q91" s="30"/>
      <c r="R91" s="30"/>
      <c r="S91" s="30">
        <f>55846.68</f>
        <v>55846.68</v>
      </c>
      <c r="T91" s="30"/>
      <c r="U91" s="30"/>
      <c r="V91" s="30"/>
      <c r="W91" s="31">
        <f>423323.32</f>
        <v>423323.32</v>
      </c>
      <c r="X91" s="31"/>
    </row>
    <row r="92" spans="1:24" s="1" customFormat="1" ht="13.5" customHeight="1">
      <c r="A92" s="28" t="s">
        <v>92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9" t="s">
        <v>74</v>
      </c>
      <c r="M92" s="29"/>
      <c r="N92" s="29" t="s">
        <v>145</v>
      </c>
      <c r="O92" s="29"/>
      <c r="P92" s="30">
        <f>207060</f>
        <v>207060</v>
      </c>
      <c r="Q92" s="30"/>
      <c r="R92" s="30"/>
      <c r="S92" s="30">
        <f>207060</f>
        <v>207060</v>
      </c>
      <c r="T92" s="30"/>
      <c r="U92" s="30"/>
      <c r="V92" s="30"/>
      <c r="W92" s="31">
        <f aca="true" t="shared" si="3" ref="W92:W100">0</f>
        <v>0</v>
      </c>
      <c r="X92" s="31"/>
    </row>
    <row r="93" spans="1:24" s="1" customFormat="1" ht="13.5" customHeight="1">
      <c r="A93" s="28" t="s">
        <v>94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9" t="s">
        <v>74</v>
      </c>
      <c r="M93" s="29"/>
      <c r="N93" s="29" t="s">
        <v>146</v>
      </c>
      <c r="O93" s="29"/>
      <c r="P93" s="30">
        <f>100000</f>
        <v>100000</v>
      </c>
      <c r="Q93" s="30"/>
      <c r="R93" s="30"/>
      <c r="S93" s="30">
        <f>100000</f>
        <v>100000</v>
      </c>
      <c r="T93" s="30"/>
      <c r="U93" s="30"/>
      <c r="V93" s="30"/>
      <c r="W93" s="31">
        <f t="shared" si="3"/>
        <v>0</v>
      </c>
      <c r="X93" s="31"/>
    </row>
    <row r="94" spans="1:24" s="1" customFormat="1" ht="13.5" customHeight="1">
      <c r="A94" s="28" t="s">
        <v>83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9" t="s">
        <v>74</v>
      </c>
      <c r="M94" s="29"/>
      <c r="N94" s="29" t="s">
        <v>147</v>
      </c>
      <c r="O94" s="29"/>
      <c r="P94" s="30">
        <f>54000</f>
        <v>54000</v>
      </c>
      <c r="Q94" s="30"/>
      <c r="R94" s="30"/>
      <c r="S94" s="30">
        <f>54000</f>
        <v>54000</v>
      </c>
      <c r="T94" s="30"/>
      <c r="U94" s="30"/>
      <c r="V94" s="30"/>
      <c r="W94" s="31">
        <f t="shared" si="3"/>
        <v>0</v>
      </c>
      <c r="X94" s="31"/>
    </row>
    <row r="95" spans="1:24" s="1" customFormat="1" ht="13.5" customHeight="1">
      <c r="A95" s="28" t="s">
        <v>90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9" t="s">
        <v>74</v>
      </c>
      <c r="M95" s="29"/>
      <c r="N95" s="29" t="s">
        <v>148</v>
      </c>
      <c r="O95" s="29"/>
      <c r="P95" s="30">
        <f>50000</f>
        <v>50000</v>
      </c>
      <c r="Q95" s="30"/>
      <c r="R95" s="30"/>
      <c r="S95" s="30">
        <f>50000</f>
        <v>50000</v>
      </c>
      <c r="T95" s="30"/>
      <c r="U95" s="30"/>
      <c r="V95" s="30"/>
      <c r="W95" s="31">
        <f t="shared" si="3"/>
        <v>0</v>
      </c>
      <c r="X95" s="31"/>
    </row>
    <row r="96" spans="1:24" s="1" customFormat="1" ht="13.5" customHeight="1">
      <c r="A96" s="28" t="s">
        <v>94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9" t="s">
        <v>74</v>
      </c>
      <c r="M96" s="29"/>
      <c r="N96" s="29" t="s">
        <v>149</v>
      </c>
      <c r="O96" s="29"/>
      <c r="P96" s="30">
        <f>49000</f>
        <v>49000</v>
      </c>
      <c r="Q96" s="30"/>
      <c r="R96" s="30"/>
      <c r="S96" s="30">
        <f>49000</f>
        <v>49000</v>
      </c>
      <c r="T96" s="30"/>
      <c r="U96" s="30"/>
      <c r="V96" s="30"/>
      <c r="W96" s="31">
        <f t="shared" si="3"/>
        <v>0</v>
      </c>
      <c r="X96" s="31"/>
    </row>
    <row r="97" spans="1:24" s="1" customFormat="1" ht="13.5" customHeight="1">
      <c r="A97" s="28" t="s">
        <v>150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9" t="s">
        <v>74</v>
      </c>
      <c r="M97" s="29"/>
      <c r="N97" s="29" t="s">
        <v>151</v>
      </c>
      <c r="O97" s="29"/>
      <c r="P97" s="30">
        <f>9245408.03</f>
        <v>9245408.03</v>
      </c>
      <c r="Q97" s="30"/>
      <c r="R97" s="30"/>
      <c r="S97" s="30">
        <f>9245408.03</f>
        <v>9245408.03</v>
      </c>
      <c r="T97" s="30"/>
      <c r="U97" s="30"/>
      <c r="V97" s="30"/>
      <c r="W97" s="31">
        <f t="shared" si="3"/>
        <v>0</v>
      </c>
      <c r="X97" s="31"/>
    </row>
    <row r="98" spans="1:24" s="1" customFormat="1" ht="13.5" customHeight="1">
      <c r="A98" s="28" t="s">
        <v>150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9" t="s">
        <v>74</v>
      </c>
      <c r="M98" s="29"/>
      <c r="N98" s="29" t="s">
        <v>152</v>
      </c>
      <c r="O98" s="29"/>
      <c r="P98" s="30">
        <f>250000</f>
        <v>250000</v>
      </c>
      <c r="Q98" s="30"/>
      <c r="R98" s="30"/>
      <c r="S98" s="30">
        <f>250000</f>
        <v>250000</v>
      </c>
      <c r="T98" s="30"/>
      <c r="U98" s="30"/>
      <c r="V98" s="30"/>
      <c r="W98" s="31">
        <f t="shared" si="3"/>
        <v>0</v>
      </c>
      <c r="X98" s="31"/>
    </row>
    <row r="99" spans="1:24" s="1" customFormat="1" ht="13.5" customHeight="1">
      <c r="A99" s="28" t="s">
        <v>150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9" t="s">
        <v>74</v>
      </c>
      <c r="M99" s="29"/>
      <c r="N99" s="29" t="s">
        <v>153</v>
      </c>
      <c r="O99" s="29"/>
      <c r="P99" s="30">
        <f>1204401</f>
        <v>1204401</v>
      </c>
      <c r="Q99" s="30"/>
      <c r="R99" s="30"/>
      <c r="S99" s="30">
        <f>1204401</f>
        <v>1204401</v>
      </c>
      <c r="T99" s="30"/>
      <c r="U99" s="30"/>
      <c r="V99" s="30"/>
      <c r="W99" s="31">
        <f t="shared" si="3"/>
        <v>0</v>
      </c>
      <c r="X99" s="31"/>
    </row>
    <row r="100" spans="1:24" s="1" customFormat="1" ht="24" customHeight="1">
      <c r="A100" s="28" t="s">
        <v>154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9" t="s">
        <v>74</v>
      </c>
      <c r="M100" s="29"/>
      <c r="N100" s="29" t="s">
        <v>155</v>
      </c>
      <c r="O100" s="29"/>
      <c r="P100" s="30">
        <f>300000</f>
        <v>300000</v>
      </c>
      <c r="Q100" s="30"/>
      <c r="R100" s="30"/>
      <c r="S100" s="30">
        <f>300000</f>
        <v>300000</v>
      </c>
      <c r="T100" s="30"/>
      <c r="U100" s="30"/>
      <c r="V100" s="30"/>
      <c r="W100" s="31">
        <f t="shared" si="3"/>
        <v>0</v>
      </c>
      <c r="X100" s="31"/>
    </row>
    <row r="101" spans="1:24" s="1" customFormat="1" ht="13.5" customHeight="1">
      <c r="A101" s="28" t="s">
        <v>156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9" t="s">
        <v>74</v>
      </c>
      <c r="M101" s="29"/>
      <c r="N101" s="29" t="s">
        <v>157</v>
      </c>
      <c r="O101" s="29"/>
      <c r="P101" s="30">
        <f>40000</f>
        <v>40000</v>
      </c>
      <c r="Q101" s="30"/>
      <c r="R101" s="30"/>
      <c r="S101" s="32" t="s">
        <v>98</v>
      </c>
      <c r="T101" s="32"/>
      <c r="U101" s="32"/>
      <c r="V101" s="32"/>
      <c r="W101" s="31">
        <f>40000</f>
        <v>40000</v>
      </c>
      <c r="X101" s="31"/>
    </row>
    <row r="102" spans="1:24" s="1" customFormat="1" ht="13.5" customHeight="1">
      <c r="A102" s="28" t="s">
        <v>75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9" t="s">
        <v>74</v>
      </c>
      <c r="M102" s="29"/>
      <c r="N102" s="29" t="s">
        <v>158</v>
      </c>
      <c r="O102" s="29"/>
      <c r="P102" s="30">
        <f>2920800.9</f>
        <v>2920800.9</v>
      </c>
      <c r="Q102" s="30"/>
      <c r="R102" s="30"/>
      <c r="S102" s="30">
        <f>2905859.41</f>
        <v>2905859.41</v>
      </c>
      <c r="T102" s="30"/>
      <c r="U102" s="30"/>
      <c r="V102" s="30"/>
      <c r="W102" s="31">
        <f>14941.49</f>
        <v>14941.49</v>
      </c>
      <c r="X102" s="31"/>
    </row>
    <row r="103" spans="1:24" s="1" customFormat="1" ht="13.5" customHeight="1">
      <c r="A103" s="28" t="s">
        <v>77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9" t="s">
        <v>74</v>
      </c>
      <c r="M103" s="29"/>
      <c r="N103" s="29" t="s">
        <v>159</v>
      </c>
      <c r="O103" s="29"/>
      <c r="P103" s="30">
        <f>881175.88</f>
        <v>881175.88</v>
      </c>
      <c r="Q103" s="30"/>
      <c r="R103" s="30"/>
      <c r="S103" s="30">
        <f>860959.7</f>
        <v>860959.7</v>
      </c>
      <c r="T103" s="30"/>
      <c r="U103" s="30"/>
      <c r="V103" s="30"/>
      <c r="W103" s="31">
        <f>20216.18</f>
        <v>20216.18</v>
      </c>
      <c r="X103" s="31"/>
    </row>
    <row r="104" spans="1:24" s="1" customFormat="1" ht="13.5" customHeight="1">
      <c r="A104" s="28" t="s">
        <v>81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9" t="s">
        <v>74</v>
      </c>
      <c r="M104" s="29"/>
      <c r="N104" s="29" t="s">
        <v>160</v>
      </c>
      <c r="O104" s="29"/>
      <c r="P104" s="30">
        <f>80081.6</f>
        <v>80081.6</v>
      </c>
      <c r="Q104" s="30"/>
      <c r="R104" s="30"/>
      <c r="S104" s="30">
        <f>70232.3</f>
        <v>70232.3</v>
      </c>
      <c r="T104" s="30"/>
      <c r="U104" s="30"/>
      <c r="V104" s="30"/>
      <c r="W104" s="31">
        <f>9849.3</f>
        <v>9849.3</v>
      </c>
      <c r="X104" s="31"/>
    </row>
    <row r="105" spans="1:24" s="1" customFormat="1" ht="13.5" customHeight="1">
      <c r="A105" s="28" t="s">
        <v>85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9" t="s">
        <v>74</v>
      </c>
      <c r="M105" s="29"/>
      <c r="N105" s="29" t="s">
        <v>161</v>
      </c>
      <c r="O105" s="29"/>
      <c r="P105" s="30">
        <f>180</f>
        <v>180</v>
      </c>
      <c r="Q105" s="30"/>
      <c r="R105" s="30"/>
      <c r="S105" s="30">
        <f>180</f>
        <v>180</v>
      </c>
      <c r="T105" s="30"/>
      <c r="U105" s="30"/>
      <c r="V105" s="30"/>
      <c r="W105" s="31">
        <f>0</f>
        <v>0</v>
      </c>
      <c r="X105" s="31"/>
    </row>
    <row r="106" spans="1:24" s="1" customFormat="1" ht="13.5" customHeight="1">
      <c r="A106" s="28" t="s">
        <v>87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9" t="s">
        <v>74</v>
      </c>
      <c r="M106" s="29"/>
      <c r="N106" s="29" t="s">
        <v>162</v>
      </c>
      <c r="O106" s="29"/>
      <c r="P106" s="30">
        <f>11617.18</f>
        <v>11617.18</v>
      </c>
      <c r="Q106" s="30"/>
      <c r="R106" s="30"/>
      <c r="S106" s="30">
        <f>7924.06</f>
        <v>7924.06</v>
      </c>
      <c r="T106" s="30"/>
      <c r="U106" s="30"/>
      <c r="V106" s="30"/>
      <c r="W106" s="31">
        <f>3693.12</f>
        <v>3693.12</v>
      </c>
      <c r="X106" s="31"/>
    </row>
    <row r="107" spans="1:24" s="1" customFormat="1" ht="13.5" customHeight="1">
      <c r="A107" s="28" t="s">
        <v>83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9" t="s">
        <v>74</v>
      </c>
      <c r="M107" s="29"/>
      <c r="N107" s="29" t="s">
        <v>163</v>
      </c>
      <c r="O107" s="29"/>
      <c r="P107" s="30">
        <f>99000</f>
        <v>99000</v>
      </c>
      <c r="Q107" s="30"/>
      <c r="R107" s="30"/>
      <c r="S107" s="30">
        <f>99000</f>
        <v>99000</v>
      </c>
      <c r="T107" s="30"/>
      <c r="U107" s="30"/>
      <c r="V107" s="30"/>
      <c r="W107" s="31">
        <f>0</f>
        <v>0</v>
      </c>
      <c r="X107" s="31"/>
    </row>
    <row r="108" spans="1:24" s="1" customFormat="1" ht="13.5" customHeight="1">
      <c r="A108" s="28" t="s">
        <v>106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9" t="s">
        <v>74</v>
      </c>
      <c r="M108" s="29"/>
      <c r="N108" s="29" t="s">
        <v>164</v>
      </c>
      <c r="O108" s="29"/>
      <c r="P108" s="30">
        <f>672611.76</f>
        <v>672611.76</v>
      </c>
      <c r="Q108" s="30"/>
      <c r="R108" s="30"/>
      <c r="S108" s="30">
        <f>667425.97</f>
        <v>667425.97</v>
      </c>
      <c r="T108" s="30"/>
      <c r="U108" s="30"/>
      <c r="V108" s="30"/>
      <c r="W108" s="31">
        <f>5185.79</f>
        <v>5185.79</v>
      </c>
      <c r="X108" s="31"/>
    </row>
    <row r="109" spans="1:24" s="1" customFormat="1" ht="13.5" customHeight="1">
      <c r="A109" s="28" t="s">
        <v>108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9" t="s">
        <v>74</v>
      </c>
      <c r="M109" s="29"/>
      <c r="N109" s="29" t="s">
        <v>165</v>
      </c>
      <c r="O109" s="29"/>
      <c r="P109" s="30">
        <f>167683.96</f>
        <v>167683.96</v>
      </c>
      <c r="Q109" s="30"/>
      <c r="R109" s="30"/>
      <c r="S109" s="30">
        <f>167683.96</f>
        <v>167683.96</v>
      </c>
      <c r="T109" s="30"/>
      <c r="U109" s="30"/>
      <c r="V109" s="30"/>
      <c r="W109" s="31">
        <f>0</f>
        <v>0</v>
      </c>
      <c r="X109" s="31"/>
    </row>
    <row r="110" spans="1:24" s="1" customFormat="1" ht="13.5" customHeight="1">
      <c r="A110" s="28" t="s">
        <v>85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9" t="s">
        <v>74</v>
      </c>
      <c r="M110" s="29"/>
      <c r="N110" s="29" t="s">
        <v>166</v>
      </c>
      <c r="O110" s="29"/>
      <c r="P110" s="30">
        <f>82510</f>
        <v>82510</v>
      </c>
      <c r="Q110" s="30"/>
      <c r="R110" s="30"/>
      <c r="S110" s="30">
        <f>82510</f>
        <v>82510</v>
      </c>
      <c r="T110" s="30"/>
      <c r="U110" s="30"/>
      <c r="V110" s="30"/>
      <c r="W110" s="31">
        <f>0</f>
        <v>0</v>
      </c>
      <c r="X110" s="31"/>
    </row>
    <row r="111" spans="1:24" s="1" customFormat="1" ht="13.5" customHeight="1">
      <c r="A111" s="28" t="s">
        <v>90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9" t="s">
        <v>74</v>
      </c>
      <c r="M111" s="29"/>
      <c r="N111" s="29" t="s">
        <v>167</v>
      </c>
      <c r="O111" s="29"/>
      <c r="P111" s="30">
        <f>69900</f>
        <v>69900</v>
      </c>
      <c r="Q111" s="30"/>
      <c r="R111" s="30"/>
      <c r="S111" s="30">
        <f>69900</f>
        <v>69900</v>
      </c>
      <c r="T111" s="30"/>
      <c r="U111" s="30"/>
      <c r="V111" s="30"/>
      <c r="W111" s="31">
        <f>0</f>
        <v>0</v>
      </c>
      <c r="X111" s="31"/>
    </row>
    <row r="112" spans="1:24" s="1" customFormat="1" ht="13.5" customHeight="1">
      <c r="A112" s="28" t="s">
        <v>92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9" t="s">
        <v>74</v>
      </c>
      <c r="M112" s="29"/>
      <c r="N112" s="29" t="s">
        <v>168</v>
      </c>
      <c r="O112" s="29"/>
      <c r="P112" s="30">
        <f>500980</f>
        <v>500980</v>
      </c>
      <c r="Q112" s="30"/>
      <c r="R112" s="30"/>
      <c r="S112" s="30">
        <f>500980</f>
        <v>500980</v>
      </c>
      <c r="T112" s="30"/>
      <c r="U112" s="30"/>
      <c r="V112" s="30"/>
      <c r="W112" s="31">
        <f>0</f>
        <v>0</v>
      </c>
      <c r="X112" s="31"/>
    </row>
    <row r="113" spans="1:24" s="1" customFormat="1" ht="13.5" customHeight="1">
      <c r="A113" s="28" t="s">
        <v>94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9" t="s">
        <v>74</v>
      </c>
      <c r="M113" s="29"/>
      <c r="N113" s="29" t="s">
        <v>169</v>
      </c>
      <c r="O113" s="29"/>
      <c r="P113" s="30">
        <f>24737.89</f>
        <v>24737.89</v>
      </c>
      <c r="Q113" s="30"/>
      <c r="R113" s="30"/>
      <c r="S113" s="30">
        <f>24629.93</f>
        <v>24629.93</v>
      </c>
      <c r="T113" s="30"/>
      <c r="U113" s="30"/>
      <c r="V113" s="30"/>
      <c r="W113" s="31">
        <f>107.96</f>
        <v>107.96</v>
      </c>
      <c r="X113" s="31"/>
    </row>
    <row r="114" spans="1:24" s="1" customFormat="1" ht="13.5" customHeight="1">
      <c r="A114" s="28" t="s">
        <v>90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9" t="s">
        <v>74</v>
      </c>
      <c r="M114" s="29"/>
      <c r="N114" s="29" t="s">
        <v>170</v>
      </c>
      <c r="O114" s="29"/>
      <c r="P114" s="30">
        <f>18688</f>
        <v>18688</v>
      </c>
      <c r="Q114" s="30"/>
      <c r="R114" s="30"/>
      <c r="S114" s="30">
        <f>14964</f>
        <v>14964</v>
      </c>
      <c r="T114" s="30"/>
      <c r="U114" s="30"/>
      <c r="V114" s="30"/>
      <c r="W114" s="31">
        <f>3724</f>
        <v>3724</v>
      </c>
      <c r="X114" s="31"/>
    </row>
    <row r="115" spans="1:24" s="1" customFormat="1" ht="13.5" customHeight="1">
      <c r="A115" s="28" t="s">
        <v>90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9" t="s">
        <v>74</v>
      </c>
      <c r="M115" s="29"/>
      <c r="N115" s="29" t="s">
        <v>171</v>
      </c>
      <c r="O115" s="29"/>
      <c r="P115" s="30">
        <f>2000</f>
        <v>2000</v>
      </c>
      <c r="Q115" s="30"/>
      <c r="R115" s="30"/>
      <c r="S115" s="32" t="s">
        <v>98</v>
      </c>
      <c r="T115" s="32"/>
      <c r="U115" s="32"/>
      <c r="V115" s="32"/>
      <c r="W115" s="31">
        <f>2000</f>
        <v>2000</v>
      </c>
      <c r="X115" s="31"/>
    </row>
    <row r="116" spans="1:24" s="1" customFormat="1" ht="13.5" customHeight="1">
      <c r="A116" s="28" t="s">
        <v>172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9" t="s">
        <v>74</v>
      </c>
      <c r="M116" s="29"/>
      <c r="N116" s="29" t="s">
        <v>173</v>
      </c>
      <c r="O116" s="29"/>
      <c r="P116" s="30">
        <f>24599991.48</f>
        <v>24599991.48</v>
      </c>
      <c r="Q116" s="30"/>
      <c r="R116" s="30"/>
      <c r="S116" s="30">
        <f>24599991.48</f>
        <v>24599991.48</v>
      </c>
      <c r="T116" s="30"/>
      <c r="U116" s="30"/>
      <c r="V116" s="30"/>
      <c r="W116" s="31">
        <f>0</f>
        <v>0</v>
      </c>
      <c r="X116" s="31"/>
    </row>
    <row r="117" spans="1:24" s="1" customFormat="1" ht="15" customHeight="1">
      <c r="A117" s="33" t="s">
        <v>174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 t="s">
        <v>175</v>
      </c>
      <c r="M117" s="34"/>
      <c r="N117" s="34" t="s">
        <v>38</v>
      </c>
      <c r="O117" s="34"/>
      <c r="P117" s="35">
        <f>-4679974.01</f>
        <v>-4679974.01</v>
      </c>
      <c r="Q117" s="35"/>
      <c r="R117" s="35"/>
      <c r="S117" s="35">
        <f>6785383.96</f>
        <v>6785383.96</v>
      </c>
      <c r="T117" s="35"/>
      <c r="U117" s="35"/>
      <c r="V117" s="35"/>
      <c r="W117" s="36" t="s">
        <v>38</v>
      </c>
      <c r="X117" s="36"/>
    </row>
    <row r="118" spans="1:24" s="1" customFormat="1" ht="13.5" customHeight="1">
      <c r="A118" s="7" t="s">
        <v>18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12" t="s">
        <v>176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s="1" customFormat="1" ht="45.75" customHeight="1">
      <c r="A120" s="13" t="s">
        <v>24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 t="s">
        <v>25</v>
      </c>
      <c r="M120" s="13"/>
      <c r="N120" s="13" t="s">
        <v>177</v>
      </c>
      <c r="O120" s="13"/>
      <c r="P120" s="14" t="s">
        <v>27</v>
      </c>
      <c r="Q120" s="14"/>
      <c r="R120" s="14"/>
      <c r="S120" s="14" t="s">
        <v>28</v>
      </c>
      <c r="T120" s="14"/>
      <c r="U120" s="14"/>
      <c r="V120" s="14"/>
      <c r="W120" s="15" t="s">
        <v>29</v>
      </c>
      <c r="X120" s="15"/>
    </row>
    <row r="121" spans="1:24" s="1" customFormat="1" ht="12.75" customHeight="1">
      <c r="A121" s="16" t="s">
        <v>30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 t="s">
        <v>31</v>
      </c>
      <c r="M121" s="16"/>
      <c r="N121" s="16" t="s">
        <v>32</v>
      </c>
      <c r="O121" s="16"/>
      <c r="P121" s="17" t="s">
        <v>33</v>
      </c>
      <c r="Q121" s="17"/>
      <c r="R121" s="17"/>
      <c r="S121" s="17" t="s">
        <v>34</v>
      </c>
      <c r="T121" s="17"/>
      <c r="U121" s="17"/>
      <c r="V121" s="17"/>
      <c r="W121" s="18" t="s">
        <v>35</v>
      </c>
      <c r="X121" s="18"/>
    </row>
    <row r="122" spans="1:24" s="1" customFormat="1" ht="13.5" customHeight="1">
      <c r="A122" s="19" t="s">
        <v>178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20" t="s">
        <v>179</v>
      </c>
      <c r="M122" s="20"/>
      <c r="N122" s="20" t="s">
        <v>38</v>
      </c>
      <c r="O122" s="20"/>
      <c r="P122" s="37">
        <f>4679974.01</f>
        <v>4679974.01</v>
      </c>
      <c r="Q122" s="37"/>
      <c r="R122" s="37"/>
      <c r="S122" s="21">
        <f>-6785383.96</f>
        <v>-6785383.96</v>
      </c>
      <c r="T122" s="21"/>
      <c r="U122" s="21"/>
      <c r="V122" s="21"/>
      <c r="W122" s="38">
        <f>11465357.97</f>
        <v>11465357.97</v>
      </c>
      <c r="X122" s="38"/>
    </row>
    <row r="123" spans="1:24" s="1" customFormat="1" ht="13.5" customHeight="1">
      <c r="A123" s="39" t="s">
        <v>180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40" t="s">
        <v>18</v>
      </c>
      <c r="M123" s="40"/>
      <c r="N123" s="40" t="s">
        <v>18</v>
      </c>
      <c r="O123" s="40"/>
      <c r="P123" s="41" t="s">
        <v>18</v>
      </c>
      <c r="Q123" s="41"/>
      <c r="R123" s="41"/>
      <c r="S123" s="42" t="s">
        <v>18</v>
      </c>
      <c r="T123" s="42"/>
      <c r="U123" s="42"/>
      <c r="V123" s="42"/>
      <c r="W123" s="43" t="s">
        <v>18</v>
      </c>
      <c r="X123" s="43"/>
    </row>
    <row r="124" spans="1:24" s="1" customFormat="1" ht="13.5" customHeight="1">
      <c r="A124" s="23" t="s">
        <v>181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44" t="s">
        <v>182</v>
      </c>
      <c r="M124" s="44"/>
      <c r="N124" s="24" t="s">
        <v>38</v>
      </c>
      <c r="O124" s="24"/>
      <c r="P124" s="45" t="s">
        <v>98</v>
      </c>
      <c r="Q124" s="45"/>
      <c r="R124" s="45"/>
      <c r="S124" s="46" t="s">
        <v>98</v>
      </c>
      <c r="T124" s="46"/>
      <c r="U124" s="46"/>
      <c r="V124" s="46"/>
      <c r="W124" s="47" t="s">
        <v>98</v>
      </c>
      <c r="X124" s="47"/>
    </row>
    <row r="125" spans="1:24" s="1" customFormat="1" ht="13.5" customHeight="1">
      <c r="A125" s="48" t="s">
        <v>18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 s="1" customFormat="1" ht="13.5" customHeight="1">
      <c r="A126" s="28" t="s">
        <v>183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40" t="s">
        <v>184</v>
      </c>
      <c r="M126" s="40"/>
      <c r="N126" s="40" t="s">
        <v>38</v>
      </c>
      <c r="O126" s="40"/>
      <c r="P126" s="41" t="s">
        <v>98</v>
      </c>
      <c r="Q126" s="41"/>
      <c r="R126" s="41"/>
      <c r="S126" s="32" t="s">
        <v>98</v>
      </c>
      <c r="T126" s="32"/>
      <c r="U126" s="32"/>
      <c r="V126" s="32"/>
      <c r="W126" s="43" t="s">
        <v>98</v>
      </c>
      <c r="X126" s="43"/>
    </row>
    <row r="127" spans="1:24" s="1" customFormat="1" ht="13.5" customHeight="1">
      <c r="A127" s="28" t="s">
        <v>18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9" t="s">
        <v>184</v>
      </c>
      <c r="M127" s="29"/>
      <c r="N127" s="29" t="s">
        <v>18</v>
      </c>
      <c r="O127" s="29"/>
      <c r="P127" s="49" t="s">
        <v>98</v>
      </c>
      <c r="Q127" s="49"/>
      <c r="R127" s="49"/>
      <c r="S127" s="32" t="s">
        <v>98</v>
      </c>
      <c r="T127" s="32"/>
      <c r="U127" s="32"/>
      <c r="V127" s="32"/>
      <c r="W127" s="50" t="s">
        <v>98</v>
      </c>
      <c r="X127" s="50"/>
    </row>
    <row r="128" spans="1:24" s="1" customFormat="1" ht="13.5" customHeight="1">
      <c r="A128" s="28" t="s">
        <v>185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9" t="s">
        <v>186</v>
      </c>
      <c r="M128" s="29"/>
      <c r="N128" s="29" t="s">
        <v>204</v>
      </c>
      <c r="O128" s="29"/>
      <c r="P128" s="51">
        <f>4679974.01</f>
        <v>4679974.01</v>
      </c>
      <c r="Q128" s="51"/>
      <c r="R128" s="51"/>
      <c r="S128" s="30">
        <f>-6785383.96</f>
        <v>-6785383.96</v>
      </c>
      <c r="T128" s="30"/>
      <c r="U128" s="30"/>
      <c r="V128" s="30"/>
      <c r="W128" s="52">
        <f>11465357.97</f>
        <v>11465357.97</v>
      </c>
      <c r="X128" s="52"/>
    </row>
    <row r="129" spans="1:24" s="1" customFormat="1" ht="13.5" customHeight="1">
      <c r="A129" s="28" t="s">
        <v>202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9" t="s">
        <v>187</v>
      </c>
      <c r="M129" s="29"/>
      <c r="N129" s="29" t="s">
        <v>188</v>
      </c>
      <c r="O129" s="29"/>
      <c r="P129" s="51">
        <f>-71331255.87</f>
        <v>-71331255.87</v>
      </c>
      <c r="Q129" s="51"/>
      <c r="R129" s="51"/>
      <c r="S129" s="30">
        <f>-70964028.01</f>
        <v>-70964028.01</v>
      </c>
      <c r="T129" s="30"/>
      <c r="U129" s="30"/>
      <c r="V129" s="30"/>
      <c r="W129" s="53" t="s">
        <v>38</v>
      </c>
      <c r="X129" s="53"/>
    </row>
    <row r="130" spans="1:24" s="1" customFormat="1" ht="13.5" customHeight="1">
      <c r="A130" s="28" t="s">
        <v>203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9" t="s">
        <v>189</v>
      </c>
      <c r="M130" s="29"/>
      <c r="N130" s="29" t="s">
        <v>190</v>
      </c>
      <c r="O130" s="29"/>
      <c r="P130" s="51">
        <f>76011229.88</f>
        <v>76011229.88</v>
      </c>
      <c r="Q130" s="51"/>
      <c r="R130" s="51"/>
      <c r="S130" s="30">
        <f>64178644.05</f>
        <v>64178644.05</v>
      </c>
      <c r="T130" s="30"/>
      <c r="U130" s="30"/>
      <c r="V130" s="30"/>
      <c r="W130" s="53" t="s">
        <v>38</v>
      </c>
      <c r="X130" s="53"/>
    </row>
    <row r="131" spans="1:24" s="1" customFormat="1" ht="13.5" customHeight="1">
      <c r="A131" s="55" t="s">
        <v>18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1:24" s="1" customFormat="1" ht="13.5" customHeight="1">
      <c r="A132" s="7" t="s">
        <v>191</v>
      </c>
      <c r="B132" s="7"/>
      <c r="C132" s="7"/>
      <c r="D132" s="7"/>
      <c r="E132" s="7"/>
      <c r="F132" s="7"/>
      <c r="G132" s="7"/>
      <c r="H132" s="7"/>
      <c r="I132" s="54" t="s">
        <v>18</v>
      </c>
      <c r="J132" s="54"/>
      <c r="K132" s="54"/>
      <c r="L132" s="54"/>
      <c r="M132" s="54"/>
      <c r="N132" s="54" t="s">
        <v>192</v>
      </c>
      <c r="O132" s="54"/>
      <c r="P132" s="54"/>
      <c r="Q132" s="54"/>
      <c r="R132" s="7" t="s">
        <v>18</v>
      </c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18</v>
      </c>
      <c r="B133" s="7"/>
      <c r="C133" s="7"/>
      <c r="D133" s="7"/>
      <c r="E133" s="7"/>
      <c r="F133" s="7"/>
      <c r="G133" s="7"/>
      <c r="H133" s="7"/>
      <c r="I133" s="10" t="s">
        <v>18</v>
      </c>
      <c r="J133" s="56" t="s">
        <v>193</v>
      </c>
      <c r="K133" s="56"/>
      <c r="L133" s="56"/>
      <c r="M133" s="10" t="s">
        <v>18</v>
      </c>
      <c r="N133" s="10" t="s">
        <v>18</v>
      </c>
      <c r="O133" s="56" t="s">
        <v>194</v>
      </c>
      <c r="P133" s="56"/>
      <c r="Q133" s="7" t="s">
        <v>18</v>
      </c>
      <c r="R133" s="7"/>
      <c r="S133" s="7"/>
      <c r="T133" s="7"/>
      <c r="U133" s="7"/>
      <c r="V133" s="7"/>
      <c r="W133" s="7"/>
      <c r="X133" s="7"/>
    </row>
    <row r="134" spans="1:24" s="1" customFormat="1" ht="7.5" customHeight="1">
      <c r="A134" s="7" t="s">
        <v>18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195</v>
      </c>
      <c r="B135" s="7"/>
      <c r="C135" s="7"/>
      <c r="D135" s="7"/>
      <c r="E135" s="7"/>
      <c r="F135" s="7"/>
      <c r="G135" s="7"/>
      <c r="H135" s="7"/>
      <c r="I135" s="54" t="s">
        <v>18</v>
      </c>
      <c r="J135" s="54"/>
      <c r="K135" s="54"/>
      <c r="L135" s="54"/>
      <c r="M135" s="54"/>
      <c r="N135" s="54" t="s">
        <v>196</v>
      </c>
      <c r="O135" s="54"/>
      <c r="P135" s="54"/>
      <c r="Q135" s="54"/>
      <c r="R135" s="7" t="s">
        <v>18</v>
      </c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18</v>
      </c>
      <c r="B136" s="7"/>
      <c r="C136" s="7"/>
      <c r="D136" s="7"/>
      <c r="E136" s="7"/>
      <c r="F136" s="7"/>
      <c r="G136" s="7"/>
      <c r="H136" s="7"/>
      <c r="I136" s="10" t="s">
        <v>18</v>
      </c>
      <c r="J136" s="56" t="s">
        <v>193</v>
      </c>
      <c r="K136" s="56"/>
      <c r="L136" s="56"/>
      <c r="M136" s="10" t="s">
        <v>18</v>
      </c>
      <c r="N136" s="10" t="s">
        <v>18</v>
      </c>
      <c r="O136" s="56" t="s">
        <v>194</v>
      </c>
      <c r="P136" s="56"/>
      <c r="Q136" s="7" t="s">
        <v>18</v>
      </c>
      <c r="R136" s="7"/>
      <c r="S136" s="7"/>
      <c r="T136" s="7"/>
      <c r="U136" s="7"/>
      <c r="V136" s="7"/>
      <c r="W136" s="7"/>
      <c r="X136" s="7"/>
    </row>
    <row r="137" spans="1:24" s="1" customFormat="1" ht="7.5" customHeight="1">
      <c r="A137" s="7" t="s">
        <v>18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197</v>
      </c>
      <c r="B138" s="7"/>
      <c r="C138" s="54" t="s">
        <v>198</v>
      </c>
      <c r="D138" s="54"/>
      <c r="E138" s="54"/>
      <c r="F138" s="54"/>
      <c r="G138" s="54"/>
      <c r="H138" s="54"/>
      <c r="I138" s="54" t="s">
        <v>18</v>
      </c>
      <c r="J138" s="54"/>
      <c r="K138" s="54"/>
      <c r="L138" s="54"/>
      <c r="M138" s="54"/>
      <c r="N138" s="54" t="s">
        <v>199</v>
      </c>
      <c r="O138" s="54"/>
      <c r="P138" s="54"/>
      <c r="Q138" s="54"/>
      <c r="R138" s="7" t="s">
        <v>18</v>
      </c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18</v>
      </c>
      <c r="B139" s="7"/>
      <c r="C139" s="10" t="s">
        <v>18</v>
      </c>
      <c r="D139" s="56" t="s">
        <v>200</v>
      </c>
      <c r="E139" s="56"/>
      <c r="F139" s="56"/>
      <c r="G139" s="56"/>
      <c r="H139" s="10" t="s">
        <v>18</v>
      </c>
      <c r="I139" s="10" t="s">
        <v>18</v>
      </c>
      <c r="J139" s="56" t="s">
        <v>193</v>
      </c>
      <c r="K139" s="56"/>
      <c r="L139" s="56"/>
      <c r="M139" s="10" t="s">
        <v>18</v>
      </c>
      <c r="N139" s="10" t="s">
        <v>18</v>
      </c>
      <c r="O139" s="56" t="s">
        <v>194</v>
      </c>
      <c r="P139" s="56"/>
      <c r="Q139" s="7" t="s">
        <v>18</v>
      </c>
      <c r="R139" s="7"/>
      <c r="S139" s="7"/>
      <c r="T139" s="7"/>
      <c r="U139" s="7"/>
      <c r="V139" s="7"/>
      <c r="W139" s="7"/>
      <c r="X139" s="7"/>
    </row>
    <row r="140" spans="1:24" s="1" customFormat="1" ht="15.75" customHeight="1">
      <c r="A140" s="7" t="s">
        <v>18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s="1" customFormat="1" ht="13.5" customHeight="1">
      <c r="A141" s="57" t="s">
        <v>201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7" t="s">
        <v>18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</sheetData>
  <sheetProtection/>
  <mergeCells count="749">
    <mergeCell ref="A141:J141"/>
    <mergeCell ref="K141:X141"/>
    <mergeCell ref="A139:B139"/>
    <mergeCell ref="D139:G139"/>
    <mergeCell ref="J139:L139"/>
    <mergeCell ref="O139:P139"/>
    <mergeCell ref="Q139:X139"/>
    <mergeCell ref="A140:X140"/>
    <mergeCell ref="A137:X137"/>
    <mergeCell ref="A138:B138"/>
    <mergeCell ref="C138:H138"/>
    <mergeCell ref="I138:M138"/>
    <mergeCell ref="N138:Q138"/>
    <mergeCell ref="R138:X138"/>
    <mergeCell ref="A134:X134"/>
    <mergeCell ref="A135:H135"/>
    <mergeCell ref="I135:M135"/>
    <mergeCell ref="N135:Q135"/>
    <mergeCell ref="R135:X135"/>
    <mergeCell ref="A136:H136"/>
    <mergeCell ref="J136:L136"/>
    <mergeCell ref="O136:P136"/>
    <mergeCell ref="Q136:X136"/>
    <mergeCell ref="A131:X131"/>
    <mergeCell ref="A132:H132"/>
    <mergeCell ref="I132:M132"/>
    <mergeCell ref="N132:Q132"/>
    <mergeCell ref="R132:X132"/>
    <mergeCell ref="A133:H133"/>
    <mergeCell ref="J133:L133"/>
    <mergeCell ref="O133:P133"/>
    <mergeCell ref="Q133:X133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5:X125"/>
    <mergeCell ref="A126:K126"/>
    <mergeCell ref="L126:M126"/>
    <mergeCell ref="N126:O126"/>
    <mergeCell ref="P126:R126"/>
    <mergeCell ref="S126:V126"/>
    <mergeCell ref="W126:X126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18:X118"/>
    <mergeCell ref="A119:X119"/>
    <mergeCell ref="A120:K120"/>
    <mergeCell ref="L120:M120"/>
    <mergeCell ref="N120:O120"/>
    <mergeCell ref="P120:R120"/>
    <mergeCell ref="S120:V120"/>
    <mergeCell ref="W120:X120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29:X29"/>
    <mergeCell ref="A30:X30"/>
    <mergeCell ref="A31:K31"/>
    <mergeCell ref="L31:M31"/>
    <mergeCell ref="N31:O31"/>
    <mergeCell ref="P31:R31"/>
    <mergeCell ref="S31:V31"/>
    <mergeCell ref="W31:X31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48" right="0.2" top="0.3937007874015748" bottom="0" header="0.5118110236220472" footer="0.5118110236220472"/>
  <pageSetup horizontalDpi="600" verticalDpi="600" orientation="landscape" paperSize="9" r:id="rId1"/>
  <rowBreaks count="2" manualBreakCount="2">
    <brk id="29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2016-01-13T03:33:44Z</cp:lastPrinted>
  <dcterms:modified xsi:type="dcterms:W3CDTF">2016-01-13T03:39:46Z</dcterms:modified>
  <cp:category/>
  <cp:version/>
  <cp:contentType/>
  <cp:contentStatus/>
</cp:coreProperties>
</file>