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<sst xmlns="http://schemas.openxmlformats.org/spreadsheetml/2006/main" count="622" uniqueCount="211">
  <si>
    <t>ОТЧЕТ ОБ ИСПОЛНЕНИИ БЮДЖЕТА</t>
  </si>
  <si>
    <t>КОДЫ</t>
  </si>
  <si>
    <t xml:space="preserve">Форма по ОКУД </t>
  </si>
  <si>
    <t>0503117</t>
  </si>
  <si>
    <t>на 1 октября 2017 г.</t>
  </si>
  <si>
    <t xml:space="preserve">Дата </t>
  </si>
  <si>
    <t>Наименование финансового органа</t>
  </si>
  <si>
    <t>МО сп Локосово</t>
  </si>
  <si>
    <t xml:space="preserve">по ОКПО </t>
  </si>
  <si>
    <t xml:space="preserve">Глава по БК </t>
  </si>
  <si>
    <t>79555066</t>
  </si>
  <si>
    <t>650</t>
  </si>
  <si>
    <t>Наименование публично-правового образования</t>
  </si>
  <si>
    <t>Бюджет МО сп Локосово</t>
  </si>
  <si>
    <t xml:space="preserve">по ОКТМО </t>
  </si>
  <si>
    <t>71826416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</si>
  <si>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</si>
  <si>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</si>
  <si>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</si>
  <si>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</si>
  <si>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</si>
  <si>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</si>
  <si>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</si>
  <si>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</si>
  <si>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</si>
  <si>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</si>
  <si>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</si>
  <si>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</si>
  <si>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</si>
  <si>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</si>
  <si>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</si>
  <si>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</si>
  <si>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</si>
  <si>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</si>
  <si>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</si>
  <si>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</si>
  <si>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</si>
  <si>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</si>
  <si>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</si>
  <si>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</si>
  <si>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</si>
  <si>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</si>
  <si>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</si>
  <si>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</si>
  <si>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</si>
  <si>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</si>
  <si>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</si>
  <si>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</si>
  <si>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</si>
  <si>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</si>
  <si>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</si>
  <si>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</si>
  <si>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</si>
  <si>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</si>
  <si>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</si>
  <si>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</si>
  <si>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</si>
  <si>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</si>
  <si>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</si>
  <si>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</si>
  <si>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</si>
  <si>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</si>
  <si>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доходы от компенсации затрат бюджетов сельских поселений</t>
  </si>
  <si>
    <t>650 11302995 10 0000 130</t>
  </si>
  <si>
    <t>Дотации бюджетам сельских поселений на выравнивание бюджетной обеспеченности</t>
  </si>
  <si>
    <t>650 20215001 10 0000 151</t>
  </si>
  <si>
    <t>Дотации бюджетам сельских поселений на поддержку мер по обеспечению сбалансированности бюджетов</t>
  </si>
  <si>
    <t>650 20215002 10 0000 151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</si>
  <si>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</si>
  <si>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650 20235118 10 0000 151</t>
  </si>
  <si>
    <t>Субвенции бюджетам сельских поселений на государственную регистрацию актов гражданского состояния</t>
  </si>
  <si>
    <t>650 20235930 10 0000 151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</si>
  <si>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</si>
  <si>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650 20240014 10 0000 151</t>
  </si>
  <si>
    <t>Прочие межбюджетные трансферты, передаваемые бюджетам сельских поселений</t>
  </si>
  <si>
    <t>650 20249999 10 0000 151</t>
  </si>
  <si>
    <t>Прочие безвозмездные поступления в бюджеты сельских поселений</t>
  </si>
  <si>
    <t>650 20705030 10 0000 180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</si>
  <si>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</si>
  <si>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650 21860010 10 0000 151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</si>
  <si>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</si>
  <si>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</si>
  <si>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</si>
  <si>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</si>
  <si>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</si>
  <si>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</si>
  <si>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</si>
  <si>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650 0102 4090002030 121</t>
  </si>
  <si>
    <t>211</t>
  </si>
  <si>
    <t>Начисления на выплаты по оплате труда</t>
  </si>
  <si>
    <t>650 0102 4090002030 129</t>
  </si>
  <si>
    <t>213</t>
  </si>
  <si>
    <t>650 0104 4090002040 121</t>
  </si>
  <si>
    <t>Прочие выплаты</t>
  </si>
  <si>
    <t>650 0104 4090002040 122</t>
  </si>
  <si>
    <t>212</t>
  </si>
  <si>
    <t>650 0104 4090002040 129</t>
  </si>
  <si>
    <t>Услуги связи</t>
  </si>
  <si>
    <t>650 0104 4090002040 244</t>
  </si>
  <si>
    <t>221</t>
  </si>
  <si>
    <t>Прочие работы,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</si>
  <si>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</si>
  <si>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</si>
  <si>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</si>
  <si>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</si>
  <si>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</si>
  <si>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650 0104 4090002040 852</t>
  </si>
  <si>
    <t>650 0104 4090002040 853</t>
  </si>
  <si>
    <t>650 0104 9500102040 244</t>
  </si>
  <si>
    <t>650 0111 4090000690 870</t>
  </si>
  <si>
    <t>650 0113 4090000690 244</t>
  </si>
  <si>
    <t>Увеличение стоимости основных средств</t>
  </si>
  <si>
    <t>310</t>
  </si>
  <si>
    <t>650 0113 4090000690 851</t>
  </si>
  <si>
    <t>650 0113 4090000690 852</t>
  </si>
  <si>
    <t>650 0113 4090000690 853</t>
  </si>
  <si>
    <t>Коммунальные услуги</t>
  </si>
  <si>
    <t>650 0113 4090000790 244</t>
  </si>
  <si>
    <t>223</t>
  </si>
  <si>
    <t>Работы, услуги по содержанию имущества</t>
  </si>
  <si>
    <t>225</t>
  </si>
  <si>
    <t>650 0113 4090002400 122</t>
  </si>
  <si>
    <t>650 0113 4090002400 350</t>
  </si>
  <si>
    <t>Транспортные услуги</t>
  </si>
  <si>
    <t>650 0203 4090000690 244</t>
  </si>
  <si>
    <t>222</t>
  </si>
  <si>
    <t>650 0203 4090051180 121</t>
  </si>
  <si>
    <t>650 0203 4090051180 129</t>
  </si>
  <si>
    <t>650 0304 4090059300 121</t>
  </si>
  <si>
    <t>650 0304 4090059300 129</t>
  </si>
  <si>
    <t>650 0309 4090089168 244</t>
  </si>
  <si>
    <t>650 0309 9300100690 244</t>
  </si>
  <si>
    <t>650 0309 9300300690 244</t>
  </si>
  <si>
    <t>650 0309 9300400690 244</t>
  </si>
  <si>
    <t>650 0309 9300500690 244</t>
  </si>
  <si>
    <t>650 0309 9300600690 244</t>
  </si>
  <si>
    <t>650 0309 9300700690 244</t>
  </si>
  <si>
    <t>650 0314 4090000690 244</t>
  </si>
  <si>
    <t>650 0314 4090089131 244</t>
  </si>
  <si>
    <t>650 0314 9200100690 244</t>
  </si>
  <si>
    <t>650 0314 9400182300 123</t>
  </si>
  <si>
    <t>650 0314 9400182300 244</t>
  </si>
  <si>
    <t>650 0314 94001S2300 123</t>
  </si>
  <si>
    <t>650 0409 4090020641 244</t>
  </si>
  <si>
    <t>650 0410 4090000790 244</t>
  </si>
  <si>
    <t>650 0503 4090020811 244</t>
  </si>
  <si>
    <t>650 0503 4090020829 244</t>
  </si>
  <si>
    <t>650 0503 4090082420 244</t>
  </si>
  <si>
    <t>650 0503 4090089010 244</t>
  </si>
  <si>
    <t>650 0503 4090089164 244</t>
  </si>
  <si>
    <t>650 0503 4090089350 244</t>
  </si>
  <si>
    <t>650 0503 40900L555F 244</t>
  </si>
  <si>
    <t>650 0503 40900R555F 244</t>
  </si>
  <si>
    <t>650 0503 40900S2420 244</t>
  </si>
  <si>
    <t>650 0603 4090089346 244</t>
  </si>
  <si>
    <t>650 0707 4090020611 244</t>
  </si>
  <si>
    <t>Безвозмездные перечисления государственным и муниципальным организациям</t>
  </si>
  <si>
    <t>650 0801 4090061600 611</t>
  </si>
  <si>
    <t>241</t>
  </si>
  <si>
    <t>650 0801 4090082440 611</t>
  </si>
  <si>
    <t>650 0801 4090085160 612</t>
  </si>
  <si>
    <t>650 0801 9300200690 612</t>
  </si>
  <si>
    <t>Пенсии, пособия, выплачиваемые организациями сектора государственного управления</t>
  </si>
  <si>
    <t>650 1001 4090071601 312</t>
  </si>
  <si>
    <t>263</t>
  </si>
  <si>
    <t>Пособия по социальной помощи населению</t>
  </si>
  <si>
    <t>650 1003 4090071699 313</t>
  </si>
  <si>
    <t>262</t>
  </si>
  <si>
    <t>650 1101 4090000590 111</t>
  </si>
  <si>
    <t>650 1101 4090000590 112</t>
  </si>
  <si>
    <t>650 1101 4090000590 119</t>
  </si>
  <si>
    <t>650 1101 4090000590 244</t>
  </si>
  <si>
    <t>650 1101 4090000590 851</t>
  </si>
  <si>
    <t>650 1101 4090000700 244</t>
  </si>
  <si>
    <t>650 1101 4090085160 244</t>
  </si>
  <si>
    <t>650 1101 4090089313 244</t>
  </si>
  <si>
    <t>650 1101 9300200690 244</t>
  </si>
  <si>
    <t>Перечисления другим бюджетам бюджетной системы Российской Федерации</t>
  </si>
  <si>
    <t>650 1403 4090089020 540</t>
  </si>
  <si>
    <t>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</si>
  <si>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</si>
  <si>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</si>
  <si>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</si>
  <si>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</si>
  <si>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</si>
  <si>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</si>
  <si>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</si>
  <si>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</si>
  <si>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</si>
  <si>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</si>
  <si>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</si>
  <si>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</si>
  <si>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</si>
  <si>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710</t>
  </si>
  <si>
    <t>650 01050201 10 0000 510</t>
  </si>
  <si>
    <t>720</t>
  </si>
  <si>
    <t>650 01050201 10 0000 610</t>
  </si>
  <si>
    <t>Глава сельского поселения Локосово</t>
  </si>
  <si>
    <t>Нурмашева Н. В.</t>
  </si>
  <si>
    <t>(подпись)</t>
  </si>
  <si>
    <t>(расшифровка подписи)</t>
  </si>
  <si>
    <t>Главный бухгалтер</t>
  </si>
  <si>
    <t>Усова Г. А.</t>
  </si>
  <si>
    <t>Исполнитель:</t>
  </si>
  <si>
    <t>Главный специалист</t>
  </si>
  <si>
    <t>Григорьева Т. А.</t>
  </si>
  <si>
    <t>(должность)</t>
  </si>
  <si>
    <t xml:space="preserve">   2 октября 2017 г.   </t>
  </si>
  <si>
    <t xml:space="preserve">     увеличение прочих остатков денежных средств бюджетов поселений</t>
  </si>
  <si>
    <t xml:space="preserve">     уменьшение прочих остатков денежных средств бюджетов поселений</t>
  </si>
  <si>
    <t>650 01050000 00 0000 000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</si>
</sst>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7"/>
  <sheetViews>
    <sheetView tabSelected="1" zoomScalePageLayoutView="0" workbookViewId="0" topLeftCell="C133">
      <selection activeCell="A156" sqref="A156:AC156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6.00390625" style="1" customWidth="1"/>
    <col min="12" max="12" width="1.7109375" style="1" hidden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2" t="s">
        <v>1</v>
      </c>
    </row>
    <row r="2" spans="1:29" s="1" customFormat="1" ht="13.5" customHeight="1">
      <c r="A2" s="60" t="s">
        <v>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3" t="s">
        <v>3</v>
      </c>
    </row>
    <row r="3" spans="1:29" s="1" customFormat="1" ht="13.5" customHeight="1">
      <c r="A3" s="61" t="s">
        <v>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0" t="s">
        <v>5</v>
      </c>
      <c r="AA3" s="60"/>
      <c r="AB3" s="60"/>
      <c r="AC3" s="4">
        <v>43009</v>
      </c>
    </row>
    <row r="4" spans="1:29" s="1" customFormat="1" ht="13.5" customHeight="1">
      <c r="A4" s="8" t="s">
        <v>6</v>
      </c>
      <c r="B4" s="8"/>
      <c r="C4" s="8"/>
      <c r="D4" s="8"/>
      <c r="E4" s="8"/>
      <c r="F4" s="59" t="s">
        <v>7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60" t="s">
        <v>8</v>
      </c>
      <c r="Z4" s="60"/>
      <c r="AA4" s="60"/>
      <c r="AB4" s="60"/>
      <c r="AC4" s="6" t="s">
        <v>10</v>
      </c>
    </row>
    <row r="5" spans="1:29" s="1" customFormat="1" ht="13.5" customHeight="1">
      <c r="A5" s="8"/>
      <c r="B5" s="8"/>
      <c r="C5" s="8"/>
      <c r="D5" s="8"/>
      <c r="E5" s="8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60" t="s">
        <v>9</v>
      </c>
      <c r="Z5" s="60"/>
      <c r="AA5" s="60"/>
      <c r="AB5" s="60"/>
      <c r="AC5" s="6" t="s">
        <v>11</v>
      </c>
    </row>
    <row r="6" spans="1:29" s="1" customFormat="1" ht="13.5" customHeight="1">
      <c r="A6" s="8" t="s">
        <v>12</v>
      </c>
      <c r="B6" s="8"/>
      <c r="C6" s="8"/>
      <c r="D6" s="8"/>
      <c r="E6" s="8"/>
      <c r="F6" s="8"/>
      <c r="G6" s="59" t="s">
        <v>13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60" t="s">
        <v>14</v>
      </c>
      <c r="Z6" s="60"/>
      <c r="AA6" s="60"/>
      <c r="AB6" s="60"/>
      <c r="AC6" s="6" t="s">
        <v>15</v>
      </c>
    </row>
    <row r="7" spans="1:29" s="1" customFormat="1" ht="13.5" customHeight="1">
      <c r="A7" s="5" t="s">
        <v>16</v>
      </c>
      <c r="B7" s="8" t="s">
        <v>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6" t="s">
        <v>18</v>
      </c>
    </row>
    <row r="8" spans="1:29" s="1" customFormat="1" ht="13.5" customHeight="1">
      <c r="A8" s="8" t="s">
        <v>19</v>
      </c>
      <c r="B8" s="8"/>
      <c r="C8" s="8"/>
      <c r="D8" s="8"/>
      <c r="E8" s="8" t="s">
        <v>20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60" t="s">
        <v>21</v>
      </c>
      <c r="Y8" s="60"/>
      <c r="Z8" s="60"/>
      <c r="AA8" s="60"/>
      <c r="AB8" s="60"/>
      <c r="AC8" s="7" t="s">
        <v>22</v>
      </c>
    </row>
    <row r="9" spans="1:29" s="1" customFormat="1" ht="13.5" customHeight="1">
      <c r="A9" s="43" t="s">
        <v>23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1:29" s="1" customFormat="1" ht="34.5" customHeight="1">
      <c r="A10" s="44" t="s">
        <v>24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 t="s">
        <v>25</v>
      </c>
      <c r="N10" s="44"/>
      <c r="O10" s="44"/>
      <c r="P10" s="44" t="s">
        <v>26</v>
      </c>
      <c r="Q10" s="44"/>
      <c r="R10" s="44"/>
      <c r="S10" s="45" t="s">
        <v>27</v>
      </c>
      <c r="T10" s="45"/>
      <c r="U10" s="45"/>
      <c r="V10" s="45" t="s">
        <v>28</v>
      </c>
      <c r="W10" s="45"/>
      <c r="X10" s="45"/>
      <c r="Y10" s="45"/>
      <c r="Z10" s="45"/>
      <c r="AA10" s="46" t="s">
        <v>29</v>
      </c>
      <c r="AB10" s="46"/>
      <c r="AC10" s="46"/>
    </row>
    <row r="11" spans="1:29" s="1" customFormat="1" ht="12.75" customHeight="1">
      <c r="A11" s="40" t="s">
        <v>30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 t="s">
        <v>31</v>
      </c>
      <c r="N11" s="40"/>
      <c r="O11" s="40"/>
      <c r="P11" s="40" t="s">
        <v>32</v>
      </c>
      <c r="Q11" s="40"/>
      <c r="R11" s="40"/>
      <c r="S11" s="41" t="s">
        <v>33</v>
      </c>
      <c r="T11" s="41"/>
      <c r="U11" s="41"/>
      <c r="V11" s="41" t="s">
        <v>34</v>
      </c>
      <c r="W11" s="41"/>
      <c r="X11" s="41"/>
      <c r="Y11" s="41"/>
      <c r="Z11" s="41"/>
      <c r="AA11" s="42" t="s">
        <v>35</v>
      </c>
      <c r="AB11" s="42"/>
      <c r="AC11" s="42"/>
    </row>
    <row r="12" spans="1:29" s="1" customFormat="1" ht="13.5" customHeight="1">
      <c r="A12" s="34" t="s">
        <v>36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37</v>
      </c>
      <c r="N12" s="35"/>
      <c r="O12" s="35"/>
      <c r="P12" s="35" t="s">
        <v>38</v>
      </c>
      <c r="Q12" s="35"/>
      <c r="R12" s="35"/>
      <c r="S12" s="37">
        <f>79286395.61</f>
        <v>79286395.61</v>
      </c>
      <c r="T12" s="37"/>
      <c r="U12" s="37"/>
      <c r="V12" s="37">
        <f>63902048.11</f>
        <v>63902048.11</v>
      </c>
      <c r="W12" s="37"/>
      <c r="X12" s="37"/>
      <c r="Y12" s="37"/>
      <c r="Z12" s="37"/>
      <c r="AA12" s="54">
        <f>15384347.5</f>
        <v>15384347.5</v>
      </c>
      <c r="AB12" s="54"/>
      <c r="AC12" s="54"/>
    </row>
    <row r="13" spans="1:29" s="1" customFormat="1" ht="45" customHeight="1">
      <c r="A13" s="26" t="s">
        <v>39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8" t="s">
        <v>37</v>
      </c>
      <c r="N13" s="28"/>
      <c r="O13" s="28"/>
      <c r="P13" s="28" t="s">
        <v>40</v>
      </c>
      <c r="Q13" s="28"/>
      <c r="R13" s="28"/>
      <c r="S13" s="56">
        <f>106590</f>
        <v>106590</v>
      </c>
      <c r="T13" s="56"/>
      <c r="U13" s="56"/>
      <c r="V13" s="56">
        <f>78086.91</f>
        <v>78086.91</v>
      </c>
      <c r="W13" s="56"/>
      <c r="X13" s="56"/>
      <c r="Y13" s="56"/>
      <c r="Z13" s="56"/>
      <c r="AA13" s="57">
        <f>28503.09</f>
        <v>28503.09</v>
      </c>
      <c r="AB13" s="57"/>
      <c r="AC13" s="57"/>
    </row>
    <row r="14" spans="1:29" s="1" customFormat="1" ht="54.75" customHeight="1">
      <c r="A14" s="26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8" t="s">
        <v>37</v>
      </c>
      <c r="N14" s="28"/>
      <c r="O14" s="28"/>
      <c r="P14" s="28" t="s">
        <v>42</v>
      </c>
      <c r="Q14" s="28"/>
      <c r="R14" s="28"/>
      <c r="S14" s="56">
        <f>3230</f>
        <v>3230</v>
      </c>
      <c r="T14" s="56"/>
      <c r="U14" s="56"/>
      <c r="V14" s="56">
        <f>828.4</f>
        <v>828.4</v>
      </c>
      <c r="W14" s="56"/>
      <c r="X14" s="56"/>
      <c r="Y14" s="56"/>
      <c r="Z14" s="56"/>
      <c r="AA14" s="57">
        <f>2401.6</f>
        <v>2401.6</v>
      </c>
      <c r="AB14" s="57"/>
      <c r="AC14" s="57"/>
    </row>
    <row r="15" spans="1:29" s="1" customFormat="1" ht="45" customHeight="1">
      <c r="A15" s="26" t="s">
        <v>43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8" t="s">
        <v>37</v>
      </c>
      <c r="N15" s="28"/>
      <c r="O15" s="28"/>
      <c r="P15" s="28" t="s">
        <v>44</v>
      </c>
      <c r="Q15" s="28"/>
      <c r="R15" s="28"/>
      <c r="S15" s="56">
        <f>213180</f>
        <v>213180</v>
      </c>
      <c r="T15" s="56"/>
      <c r="U15" s="56"/>
      <c r="V15" s="56">
        <f>130356.8</f>
        <v>130356.8</v>
      </c>
      <c r="W15" s="56"/>
      <c r="X15" s="56"/>
      <c r="Y15" s="56"/>
      <c r="Z15" s="56"/>
      <c r="AA15" s="57">
        <f>82823.2</f>
        <v>82823.2</v>
      </c>
      <c r="AB15" s="57"/>
      <c r="AC15" s="57"/>
    </row>
    <row r="16" spans="1:29" s="1" customFormat="1" ht="45" customHeight="1">
      <c r="A16" s="26" t="s">
        <v>45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8" t="s">
        <v>37</v>
      </c>
      <c r="N16" s="28"/>
      <c r="O16" s="28"/>
      <c r="P16" s="28" t="s">
        <v>46</v>
      </c>
      <c r="Q16" s="28"/>
      <c r="R16" s="28"/>
      <c r="S16" s="30" t="s">
        <v>47</v>
      </c>
      <c r="T16" s="30"/>
      <c r="U16" s="30"/>
      <c r="V16" s="56">
        <f>-16159.76</f>
        <v>-16159.76</v>
      </c>
      <c r="W16" s="56"/>
      <c r="X16" s="56"/>
      <c r="Y16" s="56"/>
      <c r="Z16" s="56"/>
      <c r="AA16" s="58" t="s">
        <v>47</v>
      </c>
      <c r="AB16" s="58"/>
      <c r="AC16" s="58"/>
    </row>
    <row r="17" spans="1:29" s="1" customFormat="1" ht="45" customHeight="1">
      <c r="A17" s="26" t="s">
        <v>48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8" t="s">
        <v>37</v>
      </c>
      <c r="N17" s="28"/>
      <c r="O17" s="28"/>
      <c r="P17" s="28" t="s">
        <v>49</v>
      </c>
      <c r="Q17" s="28"/>
      <c r="R17" s="28"/>
      <c r="S17" s="56">
        <f>2727900</f>
        <v>2727900</v>
      </c>
      <c r="T17" s="56"/>
      <c r="U17" s="56"/>
      <c r="V17" s="56">
        <f>2471680.84</f>
        <v>2471680.84</v>
      </c>
      <c r="W17" s="56"/>
      <c r="X17" s="56"/>
      <c r="Y17" s="56"/>
      <c r="Z17" s="56"/>
      <c r="AA17" s="57">
        <f>256219.16</f>
        <v>256219.16</v>
      </c>
      <c r="AB17" s="57"/>
      <c r="AC17" s="57"/>
    </row>
    <row r="18" spans="1:29" s="1" customFormat="1" ht="66" customHeight="1">
      <c r="A18" s="26" t="s">
        <v>50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8" t="s">
        <v>37</v>
      </c>
      <c r="N18" s="28"/>
      <c r="O18" s="28"/>
      <c r="P18" s="28" t="s">
        <v>51</v>
      </c>
      <c r="Q18" s="28"/>
      <c r="R18" s="28"/>
      <c r="S18" s="56">
        <f>10000</f>
        <v>10000</v>
      </c>
      <c r="T18" s="56"/>
      <c r="U18" s="56"/>
      <c r="V18" s="30" t="s">
        <v>47</v>
      </c>
      <c r="W18" s="30"/>
      <c r="X18" s="30"/>
      <c r="Y18" s="30"/>
      <c r="Z18" s="30"/>
      <c r="AA18" s="57">
        <f>10000</f>
        <v>10000</v>
      </c>
      <c r="AB18" s="57"/>
      <c r="AC18" s="57"/>
    </row>
    <row r="19" spans="1:29" s="1" customFormat="1" ht="24" customHeight="1">
      <c r="A19" s="26" t="s">
        <v>52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8" t="s">
        <v>37</v>
      </c>
      <c r="N19" s="28"/>
      <c r="O19" s="28"/>
      <c r="P19" s="28" t="s">
        <v>53</v>
      </c>
      <c r="Q19" s="28"/>
      <c r="R19" s="28"/>
      <c r="S19" s="56">
        <f>5000</f>
        <v>5000</v>
      </c>
      <c r="T19" s="56"/>
      <c r="U19" s="56"/>
      <c r="V19" s="56">
        <f>-1812.25</f>
        <v>-1812.25</v>
      </c>
      <c r="W19" s="56"/>
      <c r="X19" s="56"/>
      <c r="Y19" s="56"/>
      <c r="Z19" s="56"/>
      <c r="AA19" s="57">
        <f>6812.25</f>
        <v>6812.25</v>
      </c>
      <c r="AB19" s="57"/>
      <c r="AC19" s="57"/>
    </row>
    <row r="20" spans="1:29" s="1" customFormat="1" ht="24" customHeight="1">
      <c r="A20" s="26" t="s">
        <v>54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8" t="s">
        <v>37</v>
      </c>
      <c r="N20" s="28"/>
      <c r="O20" s="28"/>
      <c r="P20" s="28" t="s">
        <v>55</v>
      </c>
      <c r="Q20" s="28"/>
      <c r="R20" s="28"/>
      <c r="S20" s="56">
        <f>254000</f>
        <v>254000</v>
      </c>
      <c r="T20" s="56"/>
      <c r="U20" s="56"/>
      <c r="V20" s="56">
        <f>29626.87</f>
        <v>29626.87</v>
      </c>
      <c r="W20" s="56"/>
      <c r="X20" s="56"/>
      <c r="Y20" s="56"/>
      <c r="Z20" s="56"/>
      <c r="AA20" s="57">
        <f>224373.13</f>
        <v>224373.13</v>
      </c>
      <c r="AB20" s="57"/>
      <c r="AC20" s="57"/>
    </row>
    <row r="21" spans="1:29" s="1" customFormat="1" ht="24" customHeight="1">
      <c r="A21" s="26" t="s">
        <v>56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8" t="s">
        <v>37</v>
      </c>
      <c r="N21" s="28"/>
      <c r="O21" s="28"/>
      <c r="P21" s="28" t="s">
        <v>57</v>
      </c>
      <c r="Q21" s="28"/>
      <c r="R21" s="28"/>
      <c r="S21" s="56">
        <f>94900</f>
        <v>94900</v>
      </c>
      <c r="T21" s="56"/>
      <c r="U21" s="56"/>
      <c r="V21" s="56">
        <f>49875.96</f>
        <v>49875.96</v>
      </c>
      <c r="W21" s="56"/>
      <c r="X21" s="56"/>
      <c r="Y21" s="56"/>
      <c r="Z21" s="56"/>
      <c r="AA21" s="57">
        <f>45024.04</f>
        <v>45024.04</v>
      </c>
      <c r="AB21" s="57"/>
      <c r="AC21" s="57"/>
    </row>
    <row r="22" spans="1:29" s="1" customFormat="1" ht="24" customHeight="1">
      <c r="A22" s="26" t="s">
        <v>58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8" t="s">
        <v>37</v>
      </c>
      <c r="N22" s="28"/>
      <c r="O22" s="28"/>
      <c r="P22" s="28" t="s">
        <v>59</v>
      </c>
      <c r="Q22" s="28"/>
      <c r="R22" s="28"/>
      <c r="S22" s="56">
        <f>46300</f>
        <v>46300</v>
      </c>
      <c r="T22" s="56"/>
      <c r="U22" s="56"/>
      <c r="V22" s="56">
        <f>7642.54</f>
        <v>7642.54</v>
      </c>
      <c r="W22" s="56"/>
      <c r="X22" s="56"/>
      <c r="Y22" s="56"/>
      <c r="Z22" s="56"/>
      <c r="AA22" s="57">
        <f>38657.46</f>
        <v>38657.46</v>
      </c>
      <c r="AB22" s="57"/>
      <c r="AC22" s="57"/>
    </row>
    <row r="23" spans="1:29" s="1" customFormat="1" ht="45" customHeight="1">
      <c r="A23" s="26" t="s">
        <v>60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8" t="s">
        <v>37</v>
      </c>
      <c r="N23" s="28"/>
      <c r="O23" s="28"/>
      <c r="P23" s="28" t="s">
        <v>61</v>
      </c>
      <c r="Q23" s="28"/>
      <c r="R23" s="28"/>
      <c r="S23" s="56">
        <f>27000</f>
        <v>27000</v>
      </c>
      <c r="T23" s="56"/>
      <c r="U23" s="56"/>
      <c r="V23" s="56">
        <f>13810</f>
        <v>13810</v>
      </c>
      <c r="W23" s="56"/>
      <c r="X23" s="56"/>
      <c r="Y23" s="56"/>
      <c r="Z23" s="56"/>
      <c r="AA23" s="57">
        <f>13190</f>
        <v>13190</v>
      </c>
      <c r="AB23" s="57"/>
      <c r="AC23" s="57"/>
    </row>
    <row r="24" spans="1:29" s="1" customFormat="1" ht="13.5" customHeight="1">
      <c r="A24" s="26" t="s">
        <v>62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8" t="s">
        <v>37</v>
      </c>
      <c r="N24" s="28"/>
      <c r="O24" s="28"/>
      <c r="P24" s="28" t="s">
        <v>63</v>
      </c>
      <c r="Q24" s="28"/>
      <c r="R24" s="28"/>
      <c r="S24" s="56">
        <f>1223731.44</f>
        <v>1223731.44</v>
      </c>
      <c r="T24" s="56"/>
      <c r="U24" s="56"/>
      <c r="V24" s="56">
        <f>1223731.44</f>
        <v>1223731.44</v>
      </c>
      <c r="W24" s="56"/>
      <c r="X24" s="56"/>
      <c r="Y24" s="56"/>
      <c r="Z24" s="56"/>
      <c r="AA24" s="57">
        <f>0</f>
        <v>0</v>
      </c>
      <c r="AB24" s="57"/>
      <c r="AC24" s="57"/>
    </row>
    <row r="25" spans="1:29" s="1" customFormat="1" ht="24" customHeight="1">
      <c r="A25" s="26" t="s">
        <v>64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8" t="s">
        <v>37</v>
      </c>
      <c r="N25" s="28"/>
      <c r="O25" s="28"/>
      <c r="P25" s="28" t="s">
        <v>65</v>
      </c>
      <c r="Q25" s="28"/>
      <c r="R25" s="28"/>
      <c r="S25" s="56">
        <f>26921500</f>
        <v>26921500</v>
      </c>
      <c r="T25" s="56"/>
      <c r="U25" s="56"/>
      <c r="V25" s="56">
        <f>21537196</f>
        <v>21537196</v>
      </c>
      <c r="W25" s="56"/>
      <c r="X25" s="56"/>
      <c r="Y25" s="56"/>
      <c r="Z25" s="56"/>
      <c r="AA25" s="57">
        <f>5384304</f>
        <v>5384304</v>
      </c>
      <c r="AB25" s="57"/>
      <c r="AC25" s="57"/>
    </row>
    <row r="26" spans="1:29" s="1" customFormat="1" ht="24" customHeight="1">
      <c r="A26" s="26" t="s">
        <v>66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8" t="s">
        <v>37</v>
      </c>
      <c r="N26" s="28"/>
      <c r="O26" s="28"/>
      <c r="P26" s="28" t="s">
        <v>67</v>
      </c>
      <c r="Q26" s="28"/>
      <c r="R26" s="28"/>
      <c r="S26" s="56">
        <f>3243428.41</f>
        <v>3243428.41</v>
      </c>
      <c r="T26" s="56"/>
      <c r="U26" s="56"/>
      <c r="V26" s="56">
        <f>2879210</f>
        <v>2879210</v>
      </c>
      <c r="W26" s="56"/>
      <c r="X26" s="56"/>
      <c r="Y26" s="56"/>
      <c r="Z26" s="56"/>
      <c r="AA26" s="57">
        <f>364218.41</f>
        <v>364218.41</v>
      </c>
      <c r="AB26" s="57"/>
      <c r="AC26" s="57"/>
    </row>
    <row r="27" spans="1:29" s="1" customFormat="1" ht="24" customHeight="1">
      <c r="A27" s="26" t="s">
        <v>68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8" t="s">
        <v>37</v>
      </c>
      <c r="N27" s="28"/>
      <c r="O27" s="28"/>
      <c r="P27" s="28" t="s">
        <v>69</v>
      </c>
      <c r="Q27" s="28"/>
      <c r="R27" s="28"/>
      <c r="S27" s="56">
        <f>378200</f>
        <v>378200</v>
      </c>
      <c r="T27" s="56"/>
      <c r="U27" s="56"/>
      <c r="V27" s="56">
        <f>296432.77</f>
        <v>296432.77</v>
      </c>
      <c r="W27" s="56"/>
      <c r="X27" s="56"/>
      <c r="Y27" s="56"/>
      <c r="Z27" s="56"/>
      <c r="AA27" s="57">
        <f>81767.23</f>
        <v>81767.23</v>
      </c>
      <c r="AB27" s="57"/>
      <c r="AC27" s="57"/>
    </row>
    <row r="28" spans="1:29" s="1" customFormat="1" ht="24" customHeight="1">
      <c r="A28" s="26" t="s">
        <v>70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8" t="s">
        <v>37</v>
      </c>
      <c r="N28" s="28"/>
      <c r="O28" s="28"/>
      <c r="P28" s="28" t="s">
        <v>71</v>
      </c>
      <c r="Q28" s="28"/>
      <c r="R28" s="28"/>
      <c r="S28" s="56">
        <f>5436</f>
        <v>5436</v>
      </c>
      <c r="T28" s="56"/>
      <c r="U28" s="56"/>
      <c r="V28" s="56">
        <f>5436</f>
        <v>5436</v>
      </c>
      <c r="W28" s="56"/>
      <c r="X28" s="56"/>
      <c r="Y28" s="56"/>
      <c r="Z28" s="56"/>
      <c r="AA28" s="57">
        <f>0</f>
        <v>0</v>
      </c>
      <c r="AB28" s="57"/>
      <c r="AC28" s="57"/>
    </row>
    <row r="29" spans="1:29" s="1" customFormat="1" ht="45" customHeight="1">
      <c r="A29" s="26" t="s">
        <v>72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8" t="s">
        <v>37</v>
      </c>
      <c r="N29" s="28"/>
      <c r="O29" s="28"/>
      <c r="P29" s="28" t="s">
        <v>73</v>
      </c>
      <c r="Q29" s="28"/>
      <c r="R29" s="28"/>
      <c r="S29" s="56">
        <f>76180.43</f>
        <v>76180.43</v>
      </c>
      <c r="T29" s="56"/>
      <c r="U29" s="56"/>
      <c r="V29" s="56">
        <f>57135</f>
        <v>57135</v>
      </c>
      <c r="W29" s="56"/>
      <c r="X29" s="56"/>
      <c r="Y29" s="56"/>
      <c r="Z29" s="56"/>
      <c r="AA29" s="57">
        <f>19045.43</f>
        <v>19045.43</v>
      </c>
      <c r="AB29" s="57"/>
      <c r="AC29" s="57"/>
    </row>
    <row r="30" spans="1:29" s="1" customFormat="1" ht="24" customHeight="1">
      <c r="A30" s="26" t="s">
        <v>74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8" t="s">
        <v>37</v>
      </c>
      <c r="N30" s="28"/>
      <c r="O30" s="28"/>
      <c r="P30" s="28" t="s">
        <v>75</v>
      </c>
      <c r="Q30" s="28"/>
      <c r="R30" s="28"/>
      <c r="S30" s="56">
        <f>35678196.74</f>
        <v>35678196.74</v>
      </c>
      <c r="T30" s="56"/>
      <c r="U30" s="56"/>
      <c r="V30" s="56">
        <f>26867348</f>
        <v>26867348</v>
      </c>
      <c r="W30" s="56"/>
      <c r="X30" s="56"/>
      <c r="Y30" s="56"/>
      <c r="Z30" s="56"/>
      <c r="AA30" s="57">
        <f>8810848.74</f>
        <v>8810848.74</v>
      </c>
      <c r="AB30" s="57"/>
      <c r="AC30" s="57"/>
    </row>
    <row r="31" spans="1:29" s="1" customFormat="1" ht="13.5" customHeight="1">
      <c r="A31" s="26" t="s">
        <v>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8" t="s">
        <v>37</v>
      </c>
      <c r="N31" s="28"/>
      <c r="O31" s="28"/>
      <c r="P31" s="28" t="s">
        <v>77</v>
      </c>
      <c r="Q31" s="28"/>
      <c r="R31" s="28"/>
      <c r="S31" s="56">
        <f>154151</f>
        <v>154151</v>
      </c>
      <c r="T31" s="56"/>
      <c r="U31" s="56"/>
      <c r="V31" s="56">
        <f>154151</f>
        <v>154151</v>
      </c>
      <c r="W31" s="56"/>
      <c r="X31" s="56"/>
      <c r="Y31" s="56"/>
      <c r="Z31" s="56"/>
      <c r="AA31" s="57">
        <f>0</f>
        <v>0</v>
      </c>
      <c r="AB31" s="57"/>
      <c r="AC31" s="57"/>
    </row>
    <row r="32" spans="1:29" s="1" customFormat="1" ht="33.75" customHeight="1">
      <c r="A32" s="26" t="s">
        <v>78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8" t="s">
        <v>37</v>
      </c>
      <c r="N32" s="28"/>
      <c r="O32" s="28"/>
      <c r="P32" s="28" t="s">
        <v>79</v>
      </c>
      <c r="Q32" s="28"/>
      <c r="R32" s="28"/>
      <c r="S32" s="56">
        <f>8117471.59</f>
        <v>8117471.59</v>
      </c>
      <c r="T32" s="56"/>
      <c r="U32" s="56"/>
      <c r="V32" s="56">
        <f>8117471.59</f>
        <v>8117471.59</v>
      </c>
      <c r="W32" s="56"/>
      <c r="X32" s="56"/>
      <c r="Y32" s="56"/>
      <c r="Z32" s="56"/>
      <c r="AA32" s="57">
        <f>0</f>
        <v>0</v>
      </c>
      <c r="AB32" s="57"/>
      <c r="AC32" s="57"/>
    </row>
    <row r="33" spans="1:29" s="1" customFormat="1" ht="13.5" customHeight="1">
      <c r="A33" s="55" t="s">
        <v>18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</row>
    <row r="34" spans="1:29" s="1" customFormat="1" ht="13.5" customHeight="1">
      <c r="A34" s="43" t="s">
        <v>80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 spans="1:29" s="1" customFormat="1" ht="34.5" customHeight="1">
      <c r="A35" s="44" t="s">
        <v>24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 t="s">
        <v>25</v>
      </c>
      <c r="M35" s="44"/>
      <c r="N35" s="44"/>
      <c r="O35" s="44" t="s">
        <v>81</v>
      </c>
      <c r="P35" s="44"/>
      <c r="Q35" s="44"/>
      <c r="R35" s="45" t="s">
        <v>82</v>
      </c>
      <c r="S35" s="45"/>
      <c r="T35" s="45" t="s">
        <v>27</v>
      </c>
      <c r="U35" s="45"/>
      <c r="V35" s="45"/>
      <c r="W35" s="45" t="s">
        <v>28</v>
      </c>
      <c r="X35" s="45"/>
      <c r="Y35" s="45"/>
      <c r="Z35" s="45"/>
      <c r="AA35" s="45"/>
      <c r="AB35" s="46" t="s">
        <v>29</v>
      </c>
      <c r="AC35" s="46"/>
    </row>
    <row r="36" spans="1:29" s="1" customFormat="1" ht="13.5" customHeight="1">
      <c r="A36" s="40" t="s">
        <v>30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 t="s">
        <v>31</v>
      </c>
      <c r="M36" s="40"/>
      <c r="N36" s="40"/>
      <c r="O36" s="40" t="s">
        <v>32</v>
      </c>
      <c r="P36" s="40"/>
      <c r="Q36" s="40"/>
      <c r="R36" s="41" t="s">
        <v>33</v>
      </c>
      <c r="S36" s="41"/>
      <c r="T36" s="41" t="s">
        <v>34</v>
      </c>
      <c r="U36" s="41"/>
      <c r="V36" s="41"/>
      <c r="W36" s="41" t="s">
        <v>35</v>
      </c>
      <c r="X36" s="41"/>
      <c r="Y36" s="41"/>
      <c r="Z36" s="41"/>
      <c r="AA36" s="41"/>
      <c r="AB36" s="42" t="s">
        <v>83</v>
      </c>
      <c r="AC36" s="42"/>
    </row>
    <row r="37" spans="1:29" s="1" customFormat="1" ht="13.5" customHeight="1">
      <c r="A37" s="34" t="s">
        <v>84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5" t="s">
        <v>85</v>
      </c>
      <c r="M37" s="35"/>
      <c r="N37" s="35"/>
      <c r="O37" s="35" t="s">
        <v>38</v>
      </c>
      <c r="P37" s="35"/>
      <c r="Q37" s="35"/>
      <c r="R37" s="53" t="s">
        <v>38</v>
      </c>
      <c r="S37" s="53"/>
      <c r="T37" s="37">
        <f>83829759.71</f>
        <v>83829759.71</v>
      </c>
      <c r="U37" s="37"/>
      <c r="V37" s="37"/>
      <c r="W37" s="37">
        <f>54722555.85</f>
        <v>54722555.85</v>
      </c>
      <c r="X37" s="37"/>
      <c r="Y37" s="37"/>
      <c r="Z37" s="37"/>
      <c r="AA37" s="37"/>
      <c r="AB37" s="54">
        <f>29107203.86</f>
        <v>29107203.86</v>
      </c>
      <c r="AC37" s="54"/>
    </row>
    <row r="38" spans="1:29" s="1" customFormat="1" ht="13.5" customHeight="1">
      <c r="A38" s="13" t="s">
        <v>86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4" t="s">
        <v>85</v>
      </c>
      <c r="M38" s="14"/>
      <c r="N38" s="14"/>
      <c r="O38" s="14" t="s">
        <v>87</v>
      </c>
      <c r="P38" s="14"/>
      <c r="Q38" s="14"/>
      <c r="R38" s="22" t="s">
        <v>88</v>
      </c>
      <c r="S38" s="22"/>
      <c r="T38" s="16">
        <f>1520000</f>
        <v>1520000</v>
      </c>
      <c r="U38" s="16"/>
      <c r="V38" s="16"/>
      <c r="W38" s="16">
        <f>1045392.86</f>
        <v>1045392.86</v>
      </c>
      <c r="X38" s="16"/>
      <c r="Y38" s="16"/>
      <c r="Z38" s="16"/>
      <c r="AA38" s="16"/>
      <c r="AB38" s="47">
        <f>474607.14</f>
        <v>474607.14</v>
      </c>
      <c r="AC38" s="47"/>
    </row>
    <row r="39" spans="1:29" s="1" customFormat="1" ht="13.5" customHeight="1">
      <c r="A39" s="13" t="s">
        <v>89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4" t="s">
        <v>85</v>
      </c>
      <c r="M39" s="14"/>
      <c r="N39" s="14"/>
      <c r="O39" s="14" t="s">
        <v>90</v>
      </c>
      <c r="P39" s="14"/>
      <c r="Q39" s="14"/>
      <c r="R39" s="22" t="s">
        <v>91</v>
      </c>
      <c r="S39" s="22"/>
      <c r="T39" s="16">
        <f>340000</f>
        <v>340000</v>
      </c>
      <c r="U39" s="16"/>
      <c r="V39" s="16"/>
      <c r="W39" s="16">
        <f>286607.07</f>
        <v>286607.07</v>
      </c>
      <c r="X39" s="16"/>
      <c r="Y39" s="16"/>
      <c r="Z39" s="16"/>
      <c r="AA39" s="16"/>
      <c r="AB39" s="47">
        <f>53392.93</f>
        <v>53392.93</v>
      </c>
      <c r="AC39" s="47"/>
    </row>
    <row r="40" spans="1:29" s="1" customFormat="1" ht="13.5" customHeight="1">
      <c r="A40" s="13" t="s">
        <v>86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 t="s">
        <v>85</v>
      </c>
      <c r="M40" s="14"/>
      <c r="N40" s="14"/>
      <c r="O40" s="14" t="s">
        <v>92</v>
      </c>
      <c r="P40" s="14"/>
      <c r="Q40" s="14"/>
      <c r="R40" s="22" t="s">
        <v>88</v>
      </c>
      <c r="S40" s="22"/>
      <c r="T40" s="16">
        <f>9613000</f>
        <v>9613000</v>
      </c>
      <c r="U40" s="16"/>
      <c r="V40" s="16"/>
      <c r="W40" s="16">
        <f>6113271.37</f>
        <v>6113271.37</v>
      </c>
      <c r="X40" s="16"/>
      <c r="Y40" s="16"/>
      <c r="Z40" s="16"/>
      <c r="AA40" s="16"/>
      <c r="AB40" s="47">
        <f>3499728.63</f>
        <v>3499728.63</v>
      </c>
      <c r="AC40" s="47"/>
    </row>
    <row r="41" spans="1:29" s="1" customFormat="1" ht="13.5" customHeight="1">
      <c r="A41" s="13" t="s">
        <v>93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" t="s">
        <v>85</v>
      </c>
      <c r="M41" s="14"/>
      <c r="N41" s="14"/>
      <c r="O41" s="14" t="s">
        <v>94</v>
      </c>
      <c r="P41" s="14"/>
      <c r="Q41" s="14"/>
      <c r="R41" s="22" t="s">
        <v>95</v>
      </c>
      <c r="S41" s="22"/>
      <c r="T41" s="16">
        <f>11882</f>
        <v>11882</v>
      </c>
      <c r="U41" s="16"/>
      <c r="V41" s="16"/>
      <c r="W41" s="16">
        <f>11882</f>
        <v>11882</v>
      </c>
      <c r="X41" s="16"/>
      <c r="Y41" s="16"/>
      <c r="Z41" s="16"/>
      <c r="AA41" s="16"/>
      <c r="AB41" s="47">
        <f>0</f>
        <v>0</v>
      </c>
      <c r="AC41" s="47"/>
    </row>
    <row r="42" spans="1:29" s="1" customFormat="1" ht="13.5" customHeight="1">
      <c r="A42" s="13" t="s">
        <v>89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4" t="s">
        <v>85</v>
      </c>
      <c r="M42" s="14"/>
      <c r="N42" s="14"/>
      <c r="O42" s="14" t="s">
        <v>96</v>
      </c>
      <c r="P42" s="14"/>
      <c r="Q42" s="14"/>
      <c r="R42" s="22" t="s">
        <v>91</v>
      </c>
      <c r="S42" s="22"/>
      <c r="T42" s="16">
        <f>2700980.04</f>
        <v>2700980.04</v>
      </c>
      <c r="U42" s="16"/>
      <c r="V42" s="16"/>
      <c r="W42" s="16">
        <f>1963149.23</f>
        <v>1963149.23</v>
      </c>
      <c r="X42" s="16"/>
      <c r="Y42" s="16"/>
      <c r="Z42" s="16"/>
      <c r="AA42" s="16"/>
      <c r="AB42" s="47">
        <f>737830.81</f>
        <v>737830.81</v>
      </c>
      <c r="AC42" s="47"/>
    </row>
    <row r="43" spans="1:29" s="1" customFormat="1" ht="13.5" customHeight="1">
      <c r="A43" s="13" t="s">
        <v>97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4" t="s">
        <v>85</v>
      </c>
      <c r="M43" s="14"/>
      <c r="N43" s="14"/>
      <c r="O43" s="14" t="s">
        <v>98</v>
      </c>
      <c r="P43" s="14"/>
      <c r="Q43" s="14"/>
      <c r="R43" s="22" t="s">
        <v>99</v>
      </c>
      <c r="S43" s="22"/>
      <c r="T43" s="16">
        <f>6000</f>
        <v>6000</v>
      </c>
      <c r="U43" s="16"/>
      <c r="V43" s="16"/>
      <c r="W43" s="16">
        <f>5081.7</f>
        <v>5081.7</v>
      </c>
      <c r="X43" s="16"/>
      <c r="Y43" s="16"/>
      <c r="Z43" s="16"/>
      <c r="AA43" s="16"/>
      <c r="AB43" s="47">
        <f>918.3</f>
        <v>918.3</v>
      </c>
      <c r="AC43" s="47"/>
    </row>
    <row r="44" spans="1:29" s="1" customFormat="1" ht="13.5" customHeight="1">
      <c r="A44" s="13" t="s">
        <v>100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4" t="s">
        <v>85</v>
      </c>
      <c r="M44" s="14"/>
      <c r="N44" s="14"/>
      <c r="O44" s="14" t="s">
        <v>98</v>
      </c>
      <c r="P44" s="14"/>
      <c r="Q44" s="14"/>
      <c r="R44" s="22" t="s">
        <v>101</v>
      </c>
      <c r="S44" s="22"/>
      <c r="T44" s="16">
        <f>205337.96</f>
        <v>205337.96</v>
      </c>
      <c r="U44" s="16"/>
      <c r="V44" s="16"/>
      <c r="W44" s="16">
        <f>52495.98</f>
        <v>52495.98</v>
      </c>
      <c r="X44" s="16"/>
      <c r="Y44" s="16"/>
      <c r="Z44" s="16"/>
      <c r="AA44" s="16"/>
      <c r="AB44" s="47">
        <f>152841.98</f>
        <v>152841.98</v>
      </c>
      <c r="AC44" s="47"/>
    </row>
    <row r="45" spans="1:29" s="1" customFormat="1" ht="13.5" customHeight="1">
      <c r="A45" s="13" t="s">
        <v>102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4" t="s">
        <v>85</v>
      </c>
      <c r="M45" s="14"/>
      <c r="N45" s="14"/>
      <c r="O45" s="14" t="s">
        <v>98</v>
      </c>
      <c r="P45" s="14"/>
      <c r="Q45" s="14"/>
      <c r="R45" s="22" t="s">
        <v>103</v>
      </c>
      <c r="S45" s="22"/>
      <c r="T45" s="16">
        <f>222000</f>
        <v>222000</v>
      </c>
      <c r="U45" s="16"/>
      <c r="V45" s="16"/>
      <c r="W45" s="16">
        <f>130640</f>
        <v>130640</v>
      </c>
      <c r="X45" s="16"/>
      <c r="Y45" s="16"/>
      <c r="Z45" s="16"/>
      <c r="AA45" s="16"/>
      <c r="AB45" s="47">
        <f>91360</f>
        <v>91360</v>
      </c>
      <c r="AC45" s="47"/>
    </row>
    <row r="46" spans="1:29" s="1" customFormat="1" ht="13.5" customHeight="1">
      <c r="A46" s="13" t="s">
        <v>104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4" t="s">
        <v>85</v>
      </c>
      <c r="M46" s="14"/>
      <c r="N46" s="14"/>
      <c r="O46" s="14" t="s">
        <v>98</v>
      </c>
      <c r="P46" s="14"/>
      <c r="Q46" s="14"/>
      <c r="R46" s="22" t="s">
        <v>105</v>
      </c>
      <c r="S46" s="22"/>
      <c r="T46" s="16">
        <f>68200</f>
        <v>68200</v>
      </c>
      <c r="U46" s="16"/>
      <c r="V46" s="16"/>
      <c r="W46" s="16">
        <f>32333</f>
        <v>32333</v>
      </c>
      <c r="X46" s="16"/>
      <c r="Y46" s="16"/>
      <c r="Z46" s="16"/>
      <c r="AA46" s="16"/>
      <c r="AB46" s="47">
        <f>35867</f>
        <v>35867</v>
      </c>
      <c r="AC46" s="47"/>
    </row>
    <row r="47" spans="1:29" s="1" customFormat="1" ht="13.5" customHeight="1">
      <c r="A47" s="13" t="s">
        <v>102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4" t="s">
        <v>85</v>
      </c>
      <c r="M47" s="14"/>
      <c r="N47" s="14"/>
      <c r="O47" s="14" t="s">
        <v>106</v>
      </c>
      <c r="P47" s="14"/>
      <c r="Q47" s="14"/>
      <c r="R47" s="22" t="s">
        <v>103</v>
      </c>
      <c r="S47" s="22"/>
      <c r="T47" s="16">
        <f>2000</f>
        <v>2000</v>
      </c>
      <c r="U47" s="16"/>
      <c r="V47" s="16"/>
      <c r="W47" s="20" t="s">
        <v>47</v>
      </c>
      <c r="X47" s="20"/>
      <c r="Y47" s="20"/>
      <c r="Z47" s="20"/>
      <c r="AA47" s="20"/>
      <c r="AB47" s="47">
        <f>2000</f>
        <v>2000</v>
      </c>
      <c r="AC47" s="47"/>
    </row>
    <row r="48" spans="1:29" s="1" customFormat="1" ht="13.5" customHeight="1">
      <c r="A48" s="13" t="s">
        <v>102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4" t="s">
        <v>85</v>
      </c>
      <c r="M48" s="14"/>
      <c r="N48" s="14"/>
      <c r="O48" s="14" t="s">
        <v>107</v>
      </c>
      <c r="P48" s="14"/>
      <c r="Q48" s="14"/>
      <c r="R48" s="22" t="s">
        <v>103</v>
      </c>
      <c r="S48" s="22"/>
      <c r="T48" s="16">
        <f>35000</f>
        <v>35000</v>
      </c>
      <c r="U48" s="16"/>
      <c r="V48" s="16"/>
      <c r="W48" s="16">
        <f>14930.3</f>
        <v>14930.3</v>
      </c>
      <c r="X48" s="16"/>
      <c r="Y48" s="16"/>
      <c r="Z48" s="16"/>
      <c r="AA48" s="16"/>
      <c r="AB48" s="47">
        <f>20069.7</f>
        <v>20069.7</v>
      </c>
      <c r="AC48" s="47"/>
    </row>
    <row r="49" spans="1:29" s="1" customFormat="1" ht="13.5" customHeight="1">
      <c r="A49" s="13" t="s">
        <v>100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4" t="s">
        <v>85</v>
      </c>
      <c r="M49" s="14"/>
      <c r="N49" s="14"/>
      <c r="O49" s="14" t="s">
        <v>108</v>
      </c>
      <c r="P49" s="14"/>
      <c r="Q49" s="14"/>
      <c r="R49" s="22" t="s">
        <v>101</v>
      </c>
      <c r="S49" s="22"/>
      <c r="T49" s="16">
        <f>50000</f>
        <v>50000</v>
      </c>
      <c r="U49" s="16"/>
      <c r="V49" s="16"/>
      <c r="W49" s="20" t="s">
        <v>47</v>
      </c>
      <c r="X49" s="20"/>
      <c r="Y49" s="20"/>
      <c r="Z49" s="20"/>
      <c r="AA49" s="20"/>
      <c r="AB49" s="47">
        <f>50000</f>
        <v>50000</v>
      </c>
      <c r="AC49" s="47"/>
    </row>
    <row r="50" spans="1:29" s="1" customFormat="1" ht="13.5" customHeight="1">
      <c r="A50" s="13" t="s">
        <v>102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4" t="s">
        <v>85</v>
      </c>
      <c r="M50" s="14"/>
      <c r="N50" s="14"/>
      <c r="O50" s="14" t="s">
        <v>109</v>
      </c>
      <c r="P50" s="14"/>
      <c r="Q50" s="14"/>
      <c r="R50" s="22" t="s">
        <v>103</v>
      </c>
      <c r="S50" s="22"/>
      <c r="T50" s="16">
        <f>150000</f>
        <v>150000</v>
      </c>
      <c r="U50" s="16"/>
      <c r="V50" s="16"/>
      <c r="W50" s="20" t="s">
        <v>47</v>
      </c>
      <c r="X50" s="20"/>
      <c r="Y50" s="20"/>
      <c r="Z50" s="20"/>
      <c r="AA50" s="20"/>
      <c r="AB50" s="47">
        <f>150000</f>
        <v>150000</v>
      </c>
      <c r="AC50" s="47"/>
    </row>
    <row r="51" spans="1:29" s="1" customFormat="1" ht="13.5" customHeight="1">
      <c r="A51" s="13" t="s">
        <v>100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4" t="s">
        <v>85</v>
      </c>
      <c r="M51" s="14"/>
      <c r="N51" s="14"/>
      <c r="O51" s="14" t="s">
        <v>110</v>
      </c>
      <c r="P51" s="14"/>
      <c r="Q51" s="14"/>
      <c r="R51" s="22" t="s">
        <v>101</v>
      </c>
      <c r="S51" s="22"/>
      <c r="T51" s="16">
        <f>69000</f>
        <v>69000</v>
      </c>
      <c r="U51" s="16"/>
      <c r="V51" s="16"/>
      <c r="W51" s="16">
        <f>29000</f>
        <v>29000</v>
      </c>
      <c r="X51" s="16"/>
      <c r="Y51" s="16"/>
      <c r="Z51" s="16"/>
      <c r="AA51" s="16"/>
      <c r="AB51" s="47">
        <f>40000</f>
        <v>40000</v>
      </c>
      <c r="AC51" s="47"/>
    </row>
    <row r="52" spans="1:29" s="1" customFormat="1" ht="13.5" customHeight="1">
      <c r="A52" s="13" t="s">
        <v>111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4" t="s">
        <v>85</v>
      </c>
      <c r="M52" s="14"/>
      <c r="N52" s="14"/>
      <c r="O52" s="14" t="s">
        <v>110</v>
      </c>
      <c r="P52" s="14"/>
      <c r="Q52" s="14"/>
      <c r="R52" s="22" t="s">
        <v>112</v>
      </c>
      <c r="S52" s="22"/>
      <c r="T52" s="16">
        <f>163345</f>
        <v>163345</v>
      </c>
      <c r="U52" s="16"/>
      <c r="V52" s="16"/>
      <c r="W52" s="20" t="s">
        <v>47</v>
      </c>
      <c r="X52" s="20"/>
      <c r="Y52" s="20"/>
      <c r="Z52" s="20"/>
      <c r="AA52" s="20"/>
      <c r="AB52" s="47">
        <f>163345</f>
        <v>163345</v>
      </c>
      <c r="AC52" s="47"/>
    </row>
    <row r="53" spans="1:29" s="1" customFormat="1" ht="13.5" customHeight="1">
      <c r="A53" s="13" t="s">
        <v>104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4" t="s">
        <v>85</v>
      </c>
      <c r="M53" s="14"/>
      <c r="N53" s="14"/>
      <c r="O53" s="14" t="s">
        <v>110</v>
      </c>
      <c r="P53" s="14"/>
      <c r="Q53" s="14"/>
      <c r="R53" s="22" t="s">
        <v>105</v>
      </c>
      <c r="S53" s="22"/>
      <c r="T53" s="16">
        <f>22474</f>
        <v>22474</v>
      </c>
      <c r="U53" s="16"/>
      <c r="V53" s="16"/>
      <c r="W53" s="16">
        <f>5000</f>
        <v>5000</v>
      </c>
      <c r="X53" s="16"/>
      <c r="Y53" s="16"/>
      <c r="Z53" s="16"/>
      <c r="AA53" s="16"/>
      <c r="AB53" s="47">
        <f>17474</f>
        <v>17474</v>
      </c>
      <c r="AC53" s="47"/>
    </row>
    <row r="54" spans="1:29" s="1" customFormat="1" ht="13.5" customHeight="1">
      <c r="A54" s="13" t="s">
        <v>102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4" t="s">
        <v>85</v>
      </c>
      <c r="M54" s="14"/>
      <c r="N54" s="14"/>
      <c r="O54" s="14" t="s">
        <v>113</v>
      </c>
      <c r="P54" s="14"/>
      <c r="Q54" s="14"/>
      <c r="R54" s="22" t="s">
        <v>103</v>
      </c>
      <c r="S54" s="22"/>
      <c r="T54" s="16">
        <f>20000</f>
        <v>20000</v>
      </c>
      <c r="U54" s="16"/>
      <c r="V54" s="16"/>
      <c r="W54" s="16">
        <f>11079</f>
        <v>11079</v>
      </c>
      <c r="X54" s="16"/>
      <c r="Y54" s="16"/>
      <c r="Z54" s="16"/>
      <c r="AA54" s="16"/>
      <c r="AB54" s="47">
        <f>8921</f>
        <v>8921</v>
      </c>
      <c r="AC54" s="47"/>
    </row>
    <row r="55" spans="1:29" s="1" customFormat="1" ht="13.5" customHeight="1">
      <c r="A55" s="13" t="s">
        <v>102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4" t="s">
        <v>85</v>
      </c>
      <c r="M55" s="14"/>
      <c r="N55" s="14"/>
      <c r="O55" s="14" t="s">
        <v>114</v>
      </c>
      <c r="P55" s="14"/>
      <c r="Q55" s="14"/>
      <c r="R55" s="22" t="s">
        <v>103</v>
      </c>
      <c r="S55" s="22"/>
      <c r="T55" s="16">
        <f>45674</f>
        <v>45674</v>
      </c>
      <c r="U55" s="16"/>
      <c r="V55" s="16"/>
      <c r="W55" s="16">
        <f>22462</f>
        <v>22462</v>
      </c>
      <c r="X55" s="16"/>
      <c r="Y55" s="16"/>
      <c r="Z55" s="16"/>
      <c r="AA55" s="16"/>
      <c r="AB55" s="47">
        <f>23212</f>
        <v>23212</v>
      </c>
      <c r="AC55" s="47"/>
    </row>
    <row r="56" spans="1:29" s="1" customFormat="1" ht="13.5" customHeight="1">
      <c r="A56" s="13" t="s">
        <v>102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4" t="s">
        <v>85</v>
      </c>
      <c r="M56" s="14"/>
      <c r="N56" s="14"/>
      <c r="O56" s="14" t="s">
        <v>115</v>
      </c>
      <c r="P56" s="14"/>
      <c r="Q56" s="14"/>
      <c r="R56" s="22" t="s">
        <v>103</v>
      </c>
      <c r="S56" s="22"/>
      <c r="T56" s="16">
        <f>215000</f>
        <v>215000</v>
      </c>
      <c r="U56" s="16"/>
      <c r="V56" s="16"/>
      <c r="W56" s="16">
        <f>215000</f>
        <v>215000</v>
      </c>
      <c r="X56" s="16"/>
      <c r="Y56" s="16"/>
      <c r="Z56" s="16"/>
      <c r="AA56" s="16"/>
      <c r="AB56" s="47">
        <f>0</f>
        <v>0</v>
      </c>
      <c r="AC56" s="47"/>
    </row>
    <row r="57" spans="1:29" s="1" customFormat="1" ht="13.5" customHeight="1">
      <c r="A57" s="13" t="s">
        <v>116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4" t="s">
        <v>85</v>
      </c>
      <c r="M57" s="14"/>
      <c r="N57" s="14"/>
      <c r="O57" s="14" t="s">
        <v>117</v>
      </c>
      <c r="P57" s="14"/>
      <c r="Q57" s="14"/>
      <c r="R57" s="22" t="s">
        <v>118</v>
      </c>
      <c r="S57" s="22"/>
      <c r="T57" s="16">
        <f>405803.19</f>
        <v>405803.19</v>
      </c>
      <c r="U57" s="16"/>
      <c r="V57" s="16"/>
      <c r="W57" s="16">
        <f>200130.62</f>
        <v>200130.62</v>
      </c>
      <c r="X57" s="16"/>
      <c r="Y57" s="16"/>
      <c r="Z57" s="16"/>
      <c r="AA57" s="16"/>
      <c r="AB57" s="47">
        <f>205672.57</f>
        <v>205672.57</v>
      </c>
      <c r="AC57" s="47"/>
    </row>
    <row r="58" spans="1:29" s="1" customFormat="1" ht="13.5" customHeight="1">
      <c r="A58" s="13" t="s">
        <v>119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4" t="s">
        <v>85</v>
      </c>
      <c r="M58" s="14"/>
      <c r="N58" s="14"/>
      <c r="O58" s="14" t="s">
        <v>117</v>
      </c>
      <c r="P58" s="14"/>
      <c r="Q58" s="14"/>
      <c r="R58" s="22" t="s">
        <v>120</v>
      </c>
      <c r="S58" s="22"/>
      <c r="T58" s="16">
        <f>334080.1</f>
        <v>334080.1</v>
      </c>
      <c r="U58" s="16"/>
      <c r="V58" s="16"/>
      <c r="W58" s="16">
        <f>160979.28</f>
        <v>160979.28</v>
      </c>
      <c r="X58" s="16"/>
      <c r="Y58" s="16"/>
      <c r="Z58" s="16"/>
      <c r="AA58" s="16"/>
      <c r="AB58" s="47">
        <f>173100.82</f>
        <v>173100.82</v>
      </c>
      <c r="AC58" s="47"/>
    </row>
    <row r="59" spans="1:29" s="1" customFormat="1" ht="13.5" customHeight="1">
      <c r="A59" s="13" t="s">
        <v>100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4" t="s">
        <v>85</v>
      </c>
      <c r="M59" s="14"/>
      <c r="N59" s="14"/>
      <c r="O59" s="14" t="s">
        <v>117</v>
      </c>
      <c r="P59" s="14"/>
      <c r="Q59" s="14"/>
      <c r="R59" s="22" t="s">
        <v>101</v>
      </c>
      <c r="S59" s="22"/>
      <c r="T59" s="16">
        <f>50435.97</f>
        <v>50435.97</v>
      </c>
      <c r="U59" s="16"/>
      <c r="V59" s="16"/>
      <c r="W59" s="20" t="s">
        <v>47</v>
      </c>
      <c r="X59" s="20"/>
      <c r="Y59" s="20"/>
      <c r="Z59" s="20"/>
      <c r="AA59" s="20"/>
      <c r="AB59" s="47">
        <f>50435.97</f>
        <v>50435.97</v>
      </c>
      <c r="AC59" s="47"/>
    </row>
    <row r="60" spans="1:29" s="1" customFormat="1" ht="13.5" customHeight="1">
      <c r="A60" s="13" t="s">
        <v>111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4" t="s">
        <v>85</v>
      </c>
      <c r="M60" s="14"/>
      <c r="N60" s="14"/>
      <c r="O60" s="14" t="s">
        <v>117</v>
      </c>
      <c r="P60" s="14"/>
      <c r="Q60" s="14"/>
      <c r="R60" s="22" t="s">
        <v>112</v>
      </c>
      <c r="S60" s="22"/>
      <c r="T60" s="16">
        <f>263249</f>
        <v>263249</v>
      </c>
      <c r="U60" s="16"/>
      <c r="V60" s="16"/>
      <c r="W60" s="16">
        <f>4660</f>
        <v>4660</v>
      </c>
      <c r="X60" s="16"/>
      <c r="Y60" s="16"/>
      <c r="Z60" s="16"/>
      <c r="AA60" s="16"/>
      <c r="AB60" s="47">
        <f>258589</f>
        <v>258589</v>
      </c>
      <c r="AC60" s="47"/>
    </row>
    <row r="61" spans="1:29" s="1" customFormat="1" ht="13.5" customHeight="1">
      <c r="A61" s="13" t="s">
        <v>104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4" t="s">
        <v>85</v>
      </c>
      <c r="M61" s="14"/>
      <c r="N61" s="14"/>
      <c r="O61" s="14" t="s">
        <v>117</v>
      </c>
      <c r="P61" s="14"/>
      <c r="Q61" s="14"/>
      <c r="R61" s="22" t="s">
        <v>105</v>
      </c>
      <c r="S61" s="22"/>
      <c r="T61" s="16">
        <f>1008433.62</f>
        <v>1008433.62</v>
      </c>
      <c r="U61" s="16"/>
      <c r="V61" s="16"/>
      <c r="W61" s="16">
        <f>502350.01</f>
        <v>502350.01</v>
      </c>
      <c r="X61" s="16"/>
      <c r="Y61" s="16"/>
      <c r="Z61" s="16"/>
      <c r="AA61" s="16"/>
      <c r="AB61" s="47">
        <f>506083.61</f>
        <v>506083.61</v>
      </c>
      <c r="AC61" s="47"/>
    </row>
    <row r="62" spans="1:29" s="1" customFormat="1" ht="13.5" customHeight="1">
      <c r="A62" s="13" t="s">
        <v>93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4" t="s">
        <v>85</v>
      </c>
      <c r="M62" s="14"/>
      <c r="N62" s="14"/>
      <c r="O62" s="14" t="s">
        <v>121</v>
      </c>
      <c r="P62" s="14"/>
      <c r="Q62" s="14"/>
      <c r="R62" s="22" t="s">
        <v>95</v>
      </c>
      <c r="S62" s="22"/>
      <c r="T62" s="16">
        <f>1028000</f>
        <v>1028000</v>
      </c>
      <c r="U62" s="16"/>
      <c r="V62" s="16"/>
      <c r="W62" s="16">
        <f>748836</f>
        <v>748836</v>
      </c>
      <c r="X62" s="16"/>
      <c r="Y62" s="16"/>
      <c r="Z62" s="16"/>
      <c r="AA62" s="16"/>
      <c r="AB62" s="47">
        <f>279164</f>
        <v>279164</v>
      </c>
      <c r="AC62" s="47"/>
    </row>
    <row r="63" spans="1:29" s="1" customFormat="1" ht="13.5" customHeight="1">
      <c r="A63" s="13" t="s">
        <v>102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4" t="s">
        <v>85</v>
      </c>
      <c r="M63" s="14"/>
      <c r="N63" s="14"/>
      <c r="O63" s="14" t="s">
        <v>122</v>
      </c>
      <c r="P63" s="14"/>
      <c r="Q63" s="14"/>
      <c r="R63" s="22" t="s">
        <v>103</v>
      </c>
      <c r="S63" s="22"/>
      <c r="T63" s="16">
        <f>68000</f>
        <v>68000</v>
      </c>
      <c r="U63" s="16"/>
      <c r="V63" s="16"/>
      <c r="W63" s="16">
        <f>68000</f>
        <v>68000</v>
      </c>
      <c r="X63" s="16"/>
      <c r="Y63" s="16"/>
      <c r="Z63" s="16"/>
      <c r="AA63" s="16"/>
      <c r="AB63" s="47">
        <f>0</f>
        <v>0</v>
      </c>
      <c r="AC63" s="47"/>
    </row>
    <row r="64" spans="1:29" s="1" customFormat="1" ht="13.5" customHeight="1">
      <c r="A64" s="13" t="s">
        <v>123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4" t="s">
        <v>85</v>
      </c>
      <c r="M64" s="14"/>
      <c r="N64" s="14"/>
      <c r="O64" s="14" t="s">
        <v>124</v>
      </c>
      <c r="P64" s="14"/>
      <c r="Q64" s="14"/>
      <c r="R64" s="22" t="s">
        <v>125</v>
      </c>
      <c r="S64" s="22"/>
      <c r="T64" s="16">
        <f>63000</f>
        <v>63000</v>
      </c>
      <c r="U64" s="16"/>
      <c r="V64" s="16"/>
      <c r="W64" s="16">
        <f>63000</f>
        <v>63000</v>
      </c>
      <c r="X64" s="16"/>
      <c r="Y64" s="16"/>
      <c r="Z64" s="16"/>
      <c r="AA64" s="16"/>
      <c r="AB64" s="47">
        <f>0</f>
        <v>0</v>
      </c>
      <c r="AC64" s="47"/>
    </row>
    <row r="65" spans="1:29" s="1" customFormat="1" ht="13.5" customHeight="1">
      <c r="A65" s="13" t="s">
        <v>86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4" t="s">
        <v>85</v>
      </c>
      <c r="M65" s="14"/>
      <c r="N65" s="14"/>
      <c r="O65" s="14" t="s">
        <v>126</v>
      </c>
      <c r="P65" s="14"/>
      <c r="Q65" s="14"/>
      <c r="R65" s="22" t="s">
        <v>88</v>
      </c>
      <c r="S65" s="22"/>
      <c r="T65" s="16">
        <f>290476.19</f>
        <v>290476.19</v>
      </c>
      <c r="U65" s="16"/>
      <c r="V65" s="16"/>
      <c r="W65" s="16">
        <f>82486.54</f>
        <v>82486.54</v>
      </c>
      <c r="X65" s="16"/>
      <c r="Y65" s="16"/>
      <c r="Z65" s="16"/>
      <c r="AA65" s="16"/>
      <c r="AB65" s="47">
        <f>207989.65</f>
        <v>207989.65</v>
      </c>
      <c r="AC65" s="47"/>
    </row>
    <row r="66" spans="1:29" s="1" customFormat="1" ht="13.5" customHeight="1">
      <c r="A66" s="13" t="s">
        <v>89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4" t="s">
        <v>85</v>
      </c>
      <c r="M66" s="14"/>
      <c r="N66" s="14"/>
      <c r="O66" s="14" t="s">
        <v>127</v>
      </c>
      <c r="P66" s="14"/>
      <c r="Q66" s="14"/>
      <c r="R66" s="22" t="s">
        <v>91</v>
      </c>
      <c r="S66" s="22"/>
      <c r="T66" s="16">
        <f>87723.81</f>
        <v>87723.81</v>
      </c>
      <c r="U66" s="16"/>
      <c r="V66" s="16"/>
      <c r="W66" s="16">
        <f>24910.91</f>
        <v>24910.91</v>
      </c>
      <c r="X66" s="16"/>
      <c r="Y66" s="16"/>
      <c r="Z66" s="16"/>
      <c r="AA66" s="16"/>
      <c r="AB66" s="47">
        <f>62812.9</f>
        <v>62812.9</v>
      </c>
      <c r="AC66" s="47"/>
    </row>
    <row r="67" spans="1:29" s="1" customFormat="1" ht="13.5" customHeight="1">
      <c r="A67" s="13" t="s">
        <v>86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4" t="s">
        <v>85</v>
      </c>
      <c r="M67" s="14"/>
      <c r="N67" s="14"/>
      <c r="O67" s="14" t="s">
        <v>128</v>
      </c>
      <c r="P67" s="14"/>
      <c r="Q67" s="14"/>
      <c r="R67" s="22" t="s">
        <v>88</v>
      </c>
      <c r="S67" s="22"/>
      <c r="T67" s="16">
        <f>4276.95</f>
        <v>4276.95</v>
      </c>
      <c r="U67" s="16"/>
      <c r="V67" s="16"/>
      <c r="W67" s="16">
        <f>3208.69</f>
        <v>3208.69</v>
      </c>
      <c r="X67" s="16"/>
      <c r="Y67" s="16"/>
      <c r="Z67" s="16"/>
      <c r="AA67" s="16"/>
      <c r="AB67" s="47">
        <f>1068.26</f>
        <v>1068.26</v>
      </c>
      <c r="AC67" s="47"/>
    </row>
    <row r="68" spans="1:29" s="1" customFormat="1" ht="13.5" customHeight="1">
      <c r="A68" s="13" t="s">
        <v>89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4" t="s">
        <v>85</v>
      </c>
      <c r="M68" s="14"/>
      <c r="N68" s="14"/>
      <c r="O68" s="14" t="s">
        <v>129</v>
      </c>
      <c r="P68" s="14"/>
      <c r="Q68" s="14"/>
      <c r="R68" s="22" t="s">
        <v>91</v>
      </c>
      <c r="S68" s="22"/>
      <c r="T68" s="16">
        <f>1159.05</f>
        <v>1159.05</v>
      </c>
      <c r="U68" s="16"/>
      <c r="V68" s="16"/>
      <c r="W68" s="16">
        <f>869.55</f>
        <v>869.55</v>
      </c>
      <c r="X68" s="16"/>
      <c r="Y68" s="16"/>
      <c r="Z68" s="16"/>
      <c r="AA68" s="16"/>
      <c r="AB68" s="47">
        <f>289.5</f>
        <v>289.5</v>
      </c>
      <c r="AC68" s="47"/>
    </row>
    <row r="69" spans="1:29" s="1" customFormat="1" ht="13.5" customHeight="1">
      <c r="A69" s="13" t="s">
        <v>111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4" t="s">
        <v>85</v>
      </c>
      <c r="M69" s="14"/>
      <c r="N69" s="14"/>
      <c r="O69" s="14" t="s">
        <v>130</v>
      </c>
      <c r="P69" s="14"/>
      <c r="Q69" s="14"/>
      <c r="R69" s="22" t="s">
        <v>112</v>
      </c>
      <c r="S69" s="22"/>
      <c r="T69" s="16">
        <f>217000</f>
        <v>217000</v>
      </c>
      <c r="U69" s="16"/>
      <c r="V69" s="16"/>
      <c r="W69" s="20" t="s">
        <v>47</v>
      </c>
      <c r="X69" s="20"/>
      <c r="Y69" s="20"/>
      <c r="Z69" s="20"/>
      <c r="AA69" s="20"/>
      <c r="AB69" s="47">
        <f>217000</f>
        <v>217000</v>
      </c>
      <c r="AC69" s="47"/>
    </row>
    <row r="70" spans="1:29" s="1" customFormat="1" ht="13.5" customHeight="1">
      <c r="A70" s="13" t="s">
        <v>119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4" t="s">
        <v>85</v>
      </c>
      <c r="M70" s="14"/>
      <c r="N70" s="14"/>
      <c r="O70" s="14" t="s">
        <v>131</v>
      </c>
      <c r="P70" s="14"/>
      <c r="Q70" s="14"/>
      <c r="R70" s="22" t="s">
        <v>120</v>
      </c>
      <c r="S70" s="22"/>
      <c r="T70" s="16">
        <f>12000</f>
        <v>12000</v>
      </c>
      <c r="U70" s="16"/>
      <c r="V70" s="16"/>
      <c r="W70" s="16">
        <f>12000</f>
        <v>12000</v>
      </c>
      <c r="X70" s="16"/>
      <c r="Y70" s="16"/>
      <c r="Z70" s="16"/>
      <c r="AA70" s="16"/>
      <c r="AB70" s="47">
        <f>0</f>
        <v>0</v>
      </c>
      <c r="AC70" s="47"/>
    </row>
    <row r="71" spans="1:29" s="1" customFormat="1" ht="13.5" customHeight="1">
      <c r="A71" s="13" t="s">
        <v>104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4" t="s">
        <v>85</v>
      </c>
      <c r="M71" s="14"/>
      <c r="N71" s="14"/>
      <c r="O71" s="14" t="s">
        <v>132</v>
      </c>
      <c r="P71" s="14"/>
      <c r="Q71" s="14"/>
      <c r="R71" s="22" t="s">
        <v>105</v>
      </c>
      <c r="S71" s="22"/>
      <c r="T71" s="16">
        <f>5000</f>
        <v>5000</v>
      </c>
      <c r="U71" s="16"/>
      <c r="V71" s="16"/>
      <c r="W71" s="20" t="s">
        <v>47</v>
      </c>
      <c r="X71" s="20"/>
      <c r="Y71" s="20"/>
      <c r="Z71" s="20"/>
      <c r="AA71" s="20"/>
      <c r="AB71" s="47">
        <f>5000</f>
        <v>5000</v>
      </c>
      <c r="AC71" s="47"/>
    </row>
    <row r="72" spans="1:29" s="1" customFormat="1" ht="13.5" customHeight="1">
      <c r="A72" s="13" t="s">
        <v>100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 t="s">
        <v>85</v>
      </c>
      <c r="M72" s="14"/>
      <c r="N72" s="14"/>
      <c r="O72" s="14" t="s">
        <v>133</v>
      </c>
      <c r="P72" s="14"/>
      <c r="Q72" s="14"/>
      <c r="R72" s="22" t="s">
        <v>101</v>
      </c>
      <c r="S72" s="22"/>
      <c r="T72" s="16">
        <f>50000</f>
        <v>50000</v>
      </c>
      <c r="U72" s="16"/>
      <c r="V72" s="16"/>
      <c r="W72" s="16">
        <f>50000</f>
        <v>50000</v>
      </c>
      <c r="X72" s="16"/>
      <c r="Y72" s="16"/>
      <c r="Z72" s="16"/>
      <c r="AA72" s="16"/>
      <c r="AB72" s="47">
        <f>0</f>
        <v>0</v>
      </c>
      <c r="AC72" s="47"/>
    </row>
    <row r="73" spans="1:29" s="1" customFormat="1" ht="13.5" customHeight="1">
      <c r="A73" s="13" t="s">
        <v>100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4" t="s">
        <v>85</v>
      </c>
      <c r="M73" s="14"/>
      <c r="N73" s="14"/>
      <c r="O73" s="14" t="s">
        <v>134</v>
      </c>
      <c r="P73" s="14"/>
      <c r="Q73" s="14"/>
      <c r="R73" s="22" t="s">
        <v>101</v>
      </c>
      <c r="S73" s="22"/>
      <c r="T73" s="16">
        <f>5000</f>
        <v>5000</v>
      </c>
      <c r="U73" s="16"/>
      <c r="V73" s="16"/>
      <c r="W73" s="20" t="s">
        <v>47</v>
      </c>
      <c r="X73" s="20"/>
      <c r="Y73" s="20"/>
      <c r="Z73" s="20"/>
      <c r="AA73" s="20"/>
      <c r="AB73" s="47">
        <f>5000</f>
        <v>5000</v>
      </c>
      <c r="AC73" s="47"/>
    </row>
    <row r="74" spans="1:29" s="1" customFormat="1" ht="13.5" customHeight="1">
      <c r="A74" s="13" t="s">
        <v>104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4" t="s">
        <v>85</v>
      </c>
      <c r="M74" s="14"/>
      <c r="N74" s="14"/>
      <c r="O74" s="14" t="s">
        <v>135</v>
      </c>
      <c r="P74" s="14"/>
      <c r="Q74" s="14"/>
      <c r="R74" s="22" t="s">
        <v>105</v>
      </c>
      <c r="S74" s="22"/>
      <c r="T74" s="16">
        <f>5000</f>
        <v>5000</v>
      </c>
      <c r="U74" s="16"/>
      <c r="V74" s="16"/>
      <c r="W74" s="20" t="s">
        <v>47</v>
      </c>
      <c r="X74" s="20"/>
      <c r="Y74" s="20"/>
      <c r="Z74" s="20"/>
      <c r="AA74" s="20"/>
      <c r="AB74" s="47">
        <f>5000</f>
        <v>5000</v>
      </c>
      <c r="AC74" s="47"/>
    </row>
    <row r="75" spans="1:29" s="1" customFormat="1" ht="13.5" customHeight="1">
      <c r="A75" s="13" t="s">
        <v>100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4" t="s">
        <v>85</v>
      </c>
      <c r="M75" s="14"/>
      <c r="N75" s="14"/>
      <c r="O75" s="14" t="s">
        <v>136</v>
      </c>
      <c r="P75" s="14"/>
      <c r="Q75" s="14"/>
      <c r="R75" s="22" t="s">
        <v>101</v>
      </c>
      <c r="S75" s="22"/>
      <c r="T75" s="16">
        <f>87500</f>
        <v>87500</v>
      </c>
      <c r="U75" s="16"/>
      <c r="V75" s="16"/>
      <c r="W75" s="16">
        <f>87500</f>
        <v>87500</v>
      </c>
      <c r="X75" s="16"/>
      <c r="Y75" s="16"/>
      <c r="Z75" s="16"/>
      <c r="AA75" s="16"/>
      <c r="AB75" s="47">
        <f>0</f>
        <v>0</v>
      </c>
      <c r="AC75" s="47"/>
    </row>
    <row r="76" spans="1:29" s="1" customFormat="1" ht="13.5" customHeight="1">
      <c r="A76" s="13" t="s">
        <v>100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4" t="s">
        <v>85</v>
      </c>
      <c r="M76" s="14"/>
      <c r="N76" s="14"/>
      <c r="O76" s="14" t="s">
        <v>137</v>
      </c>
      <c r="P76" s="14"/>
      <c r="Q76" s="14"/>
      <c r="R76" s="22" t="s">
        <v>101</v>
      </c>
      <c r="S76" s="22"/>
      <c r="T76" s="16">
        <f>1800</f>
        <v>1800</v>
      </c>
      <c r="U76" s="16"/>
      <c r="V76" s="16"/>
      <c r="W76" s="16">
        <f>1800</f>
        <v>1800</v>
      </c>
      <c r="X76" s="16"/>
      <c r="Y76" s="16"/>
      <c r="Z76" s="16"/>
      <c r="AA76" s="16"/>
      <c r="AB76" s="47">
        <f>0</f>
        <v>0</v>
      </c>
      <c r="AC76" s="47"/>
    </row>
    <row r="77" spans="1:29" s="1" customFormat="1" ht="13.5" customHeight="1">
      <c r="A77" s="13" t="s">
        <v>111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4" t="s">
        <v>85</v>
      </c>
      <c r="M77" s="14"/>
      <c r="N77" s="14"/>
      <c r="O77" s="14" t="s">
        <v>138</v>
      </c>
      <c r="P77" s="14"/>
      <c r="Q77" s="14"/>
      <c r="R77" s="22" t="s">
        <v>112</v>
      </c>
      <c r="S77" s="22"/>
      <c r="T77" s="16">
        <f>4600</f>
        <v>4600</v>
      </c>
      <c r="U77" s="16"/>
      <c r="V77" s="16"/>
      <c r="W77" s="16">
        <f>4600</f>
        <v>4600</v>
      </c>
      <c r="X77" s="16"/>
      <c r="Y77" s="16"/>
      <c r="Z77" s="16"/>
      <c r="AA77" s="16"/>
      <c r="AB77" s="47">
        <f>0</f>
        <v>0</v>
      </c>
      <c r="AC77" s="47"/>
    </row>
    <row r="78" spans="1:29" s="1" customFormat="1" ht="13.5" customHeight="1">
      <c r="A78" s="13" t="s">
        <v>104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4" t="s">
        <v>85</v>
      </c>
      <c r="M78" s="14"/>
      <c r="N78" s="14"/>
      <c r="O78" s="14" t="s">
        <v>139</v>
      </c>
      <c r="P78" s="14"/>
      <c r="Q78" s="14"/>
      <c r="R78" s="22" t="s">
        <v>105</v>
      </c>
      <c r="S78" s="22"/>
      <c r="T78" s="16">
        <f>3000</f>
        <v>3000</v>
      </c>
      <c r="U78" s="16"/>
      <c r="V78" s="16"/>
      <c r="W78" s="20" t="s">
        <v>47</v>
      </c>
      <c r="X78" s="20"/>
      <c r="Y78" s="20"/>
      <c r="Z78" s="20"/>
      <c r="AA78" s="20"/>
      <c r="AB78" s="47">
        <f>3000</f>
        <v>3000</v>
      </c>
      <c r="AC78" s="47"/>
    </row>
    <row r="79" spans="1:29" s="1" customFormat="1" ht="13.5" customHeight="1">
      <c r="A79" s="13" t="s">
        <v>102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4" t="s">
        <v>85</v>
      </c>
      <c r="M79" s="14"/>
      <c r="N79" s="14"/>
      <c r="O79" s="14" t="s">
        <v>140</v>
      </c>
      <c r="P79" s="14"/>
      <c r="Q79" s="14"/>
      <c r="R79" s="22" t="s">
        <v>103</v>
      </c>
      <c r="S79" s="22"/>
      <c r="T79" s="16">
        <f>12585.05</f>
        <v>12585.05</v>
      </c>
      <c r="U79" s="16"/>
      <c r="V79" s="16"/>
      <c r="W79" s="16">
        <f>9585.05</f>
        <v>9585.05</v>
      </c>
      <c r="X79" s="16"/>
      <c r="Y79" s="16"/>
      <c r="Z79" s="16"/>
      <c r="AA79" s="16"/>
      <c r="AB79" s="47">
        <f>3000</f>
        <v>3000</v>
      </c>
      <c r="AC79" s="47"/>
    </row>
    <row r="80" spans="1:29" s="1" customFormat="1" ht="13.5" customHeight="1">
      <c r="A80" s="13" t="s">
        <v>104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4" t="s">
        <v>85</v>
      </c>
      <c r="M80" s="14"/>
      <c r="N80" s="14"/>
      <c r="O80" s="14" t="s">
        <v>141</v>
      </c>
      <c r="P80" s="14"/>
      <c r="Q80" s="14"/>
      <c r="R80" s="22" t="s">
        <v>105</v>
      </c>
      <c r="S80" s="22"/>
      <c r="T80" s="16">
        <f>49.55</f>
        <v>49.55</v>
      </c>
      <c r="U80" s="16"/>
      <c r="V80" s="16"/>
      <c r="W80" s="20" t="s">
        <v>47</v>
      </c>
      <c r="X80" s="20"/>
      <c r="Y80" s="20"/>
      <c r="Z80" s="20"/>
      <c r="AA80" s="20"/>
      <c r="AB80" s="47">
        <f>49.55</f>
        <v>49.55</v>
      </c>
      <c r="AC80" s="47"/>
    </row>
    <row r="81" spans="1:29" s="1" customFormat="1" ht="13.5" customHeight="1">
      <c r="A81" s="13" t="s">
        <v>102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4" t="s">
        <v>85</v>
      </c>
      <c r="M81" s="14"/>
      <c r="N81" s="14"/>
      <c r="O81" s="14" t="s">
        <v>142</v>
      </c>
      <c r="P81" s="14"/>
      <c r="Q81" s="14"/>
      <c r="R81" s="22" t="s">
        <v>103</v>
      </c>
      <c r="S81" s="22"/>
      <c r="T81" s="16">
        <f>5414.95</f>
        <v>5414.95</v>
      </c>
      <c r="U81" s="16"/>
      <c r="V81" s="16"/>
      <c r="W81" s="16">
        <f>5414.95</f>
        <v>5414.95</v>
      </c>
      <c r="X81" s="16"/>
      <c r="Y81" s="16"/>
      <c r="Z81" s="16"/>
      <c r="AA81" s="16"/>
      <c r="AB81" s="47">
        <f>0</f>
        <v>0</v>
      </c>
      <c r="AC81" s="47"/>
    </row>
    <row r="82" spans="1:29" s="1" customFormat="1" ht="13.5" customHeight="1">
      <c r="A82" s="13" t="s">
        <v>119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4" t="s">
        <v>85</v>
      </c>
      <c r="M82" s="14"/>
      <c r="N82" s="14"/>
      <c r="O82" s="14" t="s">
        <v>143</v>
      </c>
      <c r="P82" s="14"/>
      <c r="Q82" s="14"/>
      <c r="R82" s="22" t="s">
        <v>120</v>
      </c>
      <c r="S82" s="22"/>
      <c r="T82" s="16">
        <f>2090430.18</f>
        <v>2090430.18</v>
      </c>
      <c r="U82" s="16"/>
      <c r="V82" s="16"/>
      <c r="W82" s="16">
        <f>1040807.59</f>
        <v>1040807.59</v>
      </c>
      <c r="X82" s="16"/>
      <c r="Y82" s="16"/>
      <c r="Z82" s="16"/>
      <c r="AA82" s="16"/>
      <c r="AB82" s="47">
        <f>1049622.59</f>
        <v>1049622.59</v>
      </c>
      <c r="AC82" s="47"/>
    </row>
    <row r="83" spans="1:29" s="1" customFormat="1" ht="13.5" customHeight="1">
      <c r="A83" s="13" t="s">
        <v>100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4" t="s">
        <v>85</v>
      </c>
      <c r="M83" s="14"/>
      <c r="N83" s="14"/>
      <c r="O83" s="14" t="s">
        <v>143</v>
      </c>
      <c r="P83" s="14"/>
      <c r="Q83" s="14"/>
      <c r="R83" s="22" t="s">
        <v>101</v>
      </c>
      <c r="S83" s="22"/>
      <c r="T83" s="16">
        <f>11000</f>
        <v>11000</v>
      </c>
      <c r="U83" s="16"/>
      <c r="V83" s="16"/>
      <c r="W83" s="16">
        <f>9000</f>
        <v>9000</v>
      </c>
      <c r="X83" s="16"/>
      <c r="Y83" s="16"/>
      <c r="Z83" s="16"/>
      <c r="AA83" s="16"/>
      <c r="AB83" s="47">
        <f>2000</f>
        <v>2000</v>
      </c>
      <c r="AC83" s="47"/>
    </row>
    <row r="84" spans="1:29" s="1" customFormat="1" ht="13.5" customHeight="1">
      <c r="A84" s="13" t="s">
        <v>111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4" t="s">
        <v>85</v>
      </c>
      <c r="M84" s="14"/>
      <c r="N84" s="14"/>
      <c r="O84" s="14" t="s">
        <v>143</v>
      </c>
      <c r="P84" s="14"/>
      <c r="Q84" s="14"/>
      <c r="R84" s="22" t="s">
        <v>112</v>
      </c>
      <c r="S84" s="22"/>
      <c r="T84" s="16">
        <f>100000</f>
        <v>100000</v>
      </c>
      <c r="U84" s="16"/>
      <c r="V84" s="16"/>
      <c r="W84" s="20" t="s">
        <v>47</v>
      </c>
      <c r="X84" s="20"/>
      <c r="Y84" s="20"/>
      <c r="Z84" s="20"/>
      <c r="AA84" s="20"/>
      <c r="AB84" s="47">
        <f>100000</f>
        <v>100000</v>
      </c>
      <c r="AC84" s="47"/>
    </row>
    <row r="85" spans="1:29" s="1" customFormat="1" ht="13.5" customHeight="1">
      <c r="A85" s="13" t="s">
        <v>97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4" t="s">
        <v>85</v>
      </c>
      <c r="M85" s="14"/>
      <c r="N85" s="14"/>
      <c r="O85" s="14" t="s">
        <v>144</v>
      </c>
      <c r="P85" s="14"/>
      <c r="Q85" s="14"/>
      <c r="R85" s="22" t="s">
        <v>99</v>
      </c>
      <c r="S85" s="22"/>
      <c r="T85" s="16">
        <f>330168.54</f>
        <v>330168.54</v>
      </c>
      <c r="U85" s="16"/>
      <c r="V85" s="16"/>
      <c r="W85" s="16">
        <f>187235.38</f>
        <v>187235.38</v>
      </c>
      <c r="X85" s="16"/>
      <c r="Y85" s="16"/>
      <c r="Z85" s="16"/>
      <c r="AA85" s="16"/>
      <c r="AB85" s="47">
        <f>142933.16</f>
        <v>142933.16</v>
      </c>
      <c r="AC85" s="47"/>
    </row>
    <row r="86" spans="1:29" s="1" customFormat="1" ht="13.5" customHeight="1">
      <c r="A86" s="13" t="s">
        <v>119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4" t="s">
        <v>85</v>
      </c>
      <c r="M86" s="14"/>
      <c r="N86" s="14"/>
      <c r="O86" s="14" t="s">
        <v>144</v>
      </c>
      <c r="P86" s="14"/>
      <c r="Q86" s="14"/>
      <c r="R86" s="22" t="s">
        <v>120</v>
      </c>
      <c r="S86" s="22"/>
      <c r="T86" s="16">
        <f>180000</f>
        <v>180000</v>
      </c>
      <c r="U86" s="16"/>
      <c r="V86" s="16"/>
      <c r="W86" s="16">
        <f>79419.96</f>
        <v>79419.96</v>
      </c>
      <c r="X86" s="16"/>
      <c r="Y86" s="16"/>
      <c r="Z86" s="16"/>
      <c r="AA86" s="16"/>
      <c r="AB86" s="47">
        <f>100580.04</f>
        <v>100580.04</v>
      </c>
      <c r="AC86" s="47"/>
    </row>
    <row r="87" spans="1:29" s="1" customFormat="1" ht="13.5" customHeight="1">
      <c r="A87" s="13" t="s">
        <v>100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4" t="s">
        <v>85</v>
      </c>
      <c r="M87" s="14"/>
      <c r="N87" s="14"/>
      <c r="O87" s="14" t="s">
        <v>144</v>
      </c>
      <c r="P87" s="14"/>
      <c r="Q87" s="14"/>
      <c r="R87" s="22" t="s">
        <v>101</v>
      </c>
      <c r="S87" s="22"/>
      <c r="T87" s="16">
        <f>820000</f>
        <v>820000</v>
      </c>
      <c r="U87" s="16"/>
      <c r="V87" s="16"/>
      <c r="W87" s="16">
        <f>302496.68</f>
        <v>302496.68</v>
      </c>
      <c r="X87" s="16"/>
      <c r="Y87" s="16"/>
      <c r="Z87" s="16"/>
      <c r="AA87" s="16"/>
      <c r="AB87" s="47">
        <f>517503.32</f>
        <v>517503.32</v>
      </c>
      <c r="AC87" s="47"/>
    </row>
    <row r="88" spans="1:29" s="1" customFormat="1" ht="13.5" customHeight="1">
      <c r="A88" s="13" t="s">
        <v>111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4" t="s">
        <v>85</v>
      </c>
      <c r="M88" s="14"/>
      <c r="N88" s="14"/>
      <c r="O88" s="14" t="s">
        <v>144</v>
      </c>
      <c r="P88" s="14"/>
      <c r="Q88" s="14"/>
      <c r="R88" s="22" t="s">
        <v>112</v>
      </c>
      <c r="S88" s="22"/>
      <c r="T88" s="16">
        <f>52000</f>
        <v>52000</v>
      </c>
      <c r="U88" s="16"/>
      <c r="V88" s="16"/>
      <c r="W88" s="20" t="s">
        <v>47</v>
      </c>
      <c r="X88" s="20"/>
      <c r="Y88" s="20"/>
      <c r="Z88" s="20"/>
      <c r="AA88" s="20"/>
      <c r="AB88" s="47">
        <f>52000</f>
        <v>52000</v>
      </c>
      <c r="AC88" s="47"/>
    </row>
    <row r="89" spans="1:29" s="1" customFormat="1" ht="13.5" customHeight="1">
      <c r="A89" s="13" t="s">
        <v>104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4" t="s">
        <v>85</v>
      </c>
      <c r="M89" s="14"/>
      <c r="N89" s="14"/>
      <c r="O89" s="14" t="s">
        <v>144</v>
      </c>
      <c r="P89" s="14"/>
      <c r="Q89" s="14"/>
      <c r="R89" s="22" t="s">
        <v>105</v>
      </c>
      <c r="S89" s="22"/>
      <c r="T89" s="16">
        <f>70000</f>
        <v>70000</v>
      </c>
      <c r="U89" s="16"/>
      <c r="V89" s="16"/>
      <c r="W89" s="16">
        <f>39620</f>
        <v>39620</v>
      </c>
      <c r="X89" s="16"/>
      <c r="Y89" s="16"/>
      <c r="Z89" s="16"/>
      <c r="AA89" s="16"/>
      <c r="AB89" s="47">
        <f>30380</f>
        <v>30380</v>
      </c>
      <c r="AC89" s="47"/>
    </row>
    <row r="90" spans="1:29" s="1" customFormat="1" ht="13.5" customHeight="1">
      <c r="A90" s="13" t="s">
        <v>116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4" t="s">
        <v>85</v>
      </c>
      <c r="M90" s="14"/>
      <c r="N90" s="14"/>
      <c r="O90" s="14" t="s">
        <v>145</v>
      </c>
      <c r="P90" s="14"/>
      <c r="Q90" s="14"/>
      <c r="R90" s="22" t="s">
        <v>118</v>
      </c>
      <c r="S90" s="22"/>
      <c r="T90" s="16">
        <f>455446.52</f>
        <v>455446.52</v>
      </c>
      <c r="U90" s="16"/>
      <c r="V90" s="16"/>
      <c r="W90" s="16">
        <f>206836.03</f>
        <v>206836.03</v>
      </c>
      <c r="X90" s="16"/>
      <c r="Y90" s="16"/>
      <c r="Z90" s="16"/>
      <c r="AA90" s="16"/>
      <c r="AB90" s="47">
        <f>248610.49</f>
        <v>248610.49</v>
      </c>
      <c r="AC90" s="47"/>
    </row>
    <row r="91" spans="1:29" s="1" customFormat="1" ht="13.5" customHeight="1">
      <c r="A91" s="13" t="s">
        <v>119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4" t="s">
        <v>85</v>
      </c>
      <c r="M91" s="14"/>
      <c r="N91" s="14"/>
      <c r="O91" s="14" t="s">
        <v>145</v>
      </c>
      <c r="P91" s="14"/>
      <c r="Q91" s="14"/>
      <c r="R91" s="22" t="s">
        <v>120</v>
      </c>
      <c r="S91" s="22"/>
      <c r="T91" s="16">
        <f>906570.56</f>
        <v>906570.56</v>
      </c>
      <c r="U91" s="16"/>
      <c r="V91" s="16"/>
      <c r="W91" s="16">
        <f>222644.8</f>
        <v>222644.8</v>
      </c>
      <c r="X91" s="16"/>
      <c r="Y91" s="16"/>
      <c r="Z91" s="16"/>
      <c r="AA91" s="16"/>
      <c r="AB91" s="47">
        <f>683925.76</f>
        <v>683925.76</v>
      </c>
      <c r="AC91" s="47"/>
    </row>
    <row r="92" spans="1:29" s="1" customFormat="1" ht="13.5" customHeight="1">
      <c r="A92" s="13" t="s">
        <v>100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4" t="s">
        <v>85</v>
      </c>
      <c r="M92" s="14"/>
      <c r="N92" s="14"/>
      <c r="O92" s="14" t="s">
        <v>145</v>
      </c>
      <c r="P92" s="14"/>
      <c r="Q92" s="14"/>
      <c r="R92" s="22" t="s">
        <v>101</v>
      </c>
      <c r="S92" s="22"/>
      <c r="T92" s="16">
        <f>5000</f>
        <v>5000</v>
      </c>
      <c r="U92" s="16"/>
      <c r="V92" s="16"/>
      <c r="W92" s="16">
        <f>4000</f>
        <v>4000</v>
      </c>
      <c r="X92" s="16"/>
      <c r="Y92" s="16"/>
      <c r="Z92" s="16"/>
      <c r="AA92" s="16"/>
      <c r="AB92" s="47">
        <f>1000</f>
        <v>1000</v>
      </c>
      <c r="AC92" s="47"/>
    </row>
    <row r="93" spans="1:29" s="1" customFormat="1" ht="13.5" customHeight="1">
      <c r="A93" s="13" t="s">
        <v>119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4" t="s">
        <v>85</v>
      </c>
      <c r="M93" s="14"/>
      <c r="N93" s="14"/>
      <c r="O93" s="14" t="s">
        <v>146</v>
      </c>
      <c r="P93" s="14"/>
      <c r="Q93" s="14"/>
      <c r="R93" s="22" t="s">
        <v>120</v>
      </c>
      <c r="S93" s="22"/>
      <c r="T93" s="16">
        <f>1035329</f>
        <v>1035329</v>
      </c>
      <c r="U93" s="16"/>
      <c r="V93" s="16"/>
      <c r="W93" s="16">
        <f>761775.54</f>
        <v>761775.54</v>
      </c>
      <c r="X93" s="16"/>
      <c r="Y93" s="16"/>
      <c r="Z93" s="16"/>
      <c r="AA93" s="16"/>
      <c r="AB93" s="47">
        <f>273553.46</f>
        <v>273553.46</v>
      </c>
      <c r="AC93" s="47"/>
    </row>
    <row r="94" spans="1:29" s="1" customFormat="1" ht="13.5" customHeight="1">
      <c r="A94" s="13" t="s">
        <v>100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4" t="s">
        <v>85</v>
      </c>
      <c r="M94" s="14"/>
      <c r="N94" s="14"/>
      <c r="O94" s="14" t="s">
        <v>146</v>
      </c>
      <c r="P94" s="14"/>
      <c r="Q94" s="14"/>
      <c r="R94" s="22" t="s">
        <v>101</v>
      </c>
      <c r="S94" s="22"/>
      <c r="T94" s="16">
        <f>8000</f>
        <v>8000</v>
      </c>
      <c r="U94" s="16"/>
      <c r="V94" s="16"/>
      <c r="W94" s="20" t="s">
        <v>47</v>
      </c>
      <c r="X94" s="20"/>
      <c r="Y94" s="20"/>
      <c r="Z94" s="20"/>
      <c r="AA94" s="20"/>
      <c r="AB94" s="47">
        <f>8000</f>
        <v>8000</v>
      </c>
      <c r="AC94" s="47"/>
    </row>
    <row r="95" spans="1:29" s="1" customFormat="1" ht="13.5" customHeight="1">
      <c r="A95" s="13" t="s">
        <v>111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4" t="s">
        <v>85</v>
      </c>
      <c r="M95" s="14"/>
      <c r="N95" s="14"/>
      <c r="O95" s="14" t="s">
        <v>146</v>
      </c>
      <c r="P95" s="14"/>
      <c r="Q95" s="14"/>
      <c r="R95" s="22" t="s">
        <v>112</v>
      </c>
      <c r="S95" s="22"/>
      <c r="T95" s="16">
        <f>490702</f>
        <v>490702</v>
      </c>
      <c r="U95" s="16"/>
      <c r="V95" s="16"/>
      <c r="W95" s="16">
        <f>324202</f>
        <v>324202</v>
      </c>
      <c r="X95" s="16"/>
      <c r="Y95" s="16"/>
      <c r="Z95" s="16"/>
      <c r="AA95" s="16"/>
      <c r="AB95" s="47">
        <f>166500</f>
        <v>166500</v>
      </c>
      <c r="AC95" s="47"/>
    </row>
    <row r="96" spans="1:29" s="1" customFormat="1" ht="13.5" customHeight="1">
      <c r="A96" s="13" t="s">
        <v>104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4" t="s">
        <v>85</v>
      </c>
      <c r="M96" s="14"/>
      <c r="N96" s="14"/>
      <c r="O96" s="14" t="s">
        <v>146</v>
      </c>
      <c r="P96" s="14"/>
      <c r="Q96" s="14"/>
      <c r="R96" s="22" t="s">
        <v>105</v>
      </c>
      <c r="S96" s="22"/>
      <c r="T96" s="16">
        <f>99540</f>
        <v>99540</v>
      </c>
      <c r="U96" s="16"/>
      <c r="V96" s="16"/>
      <c r="W96" s="16">
        <f>99540</f>
        <v>99540</v>
      </c>
      <c r="X96" s="16"/>
      <c r="Y96" s="16"/>
      <c r="Z96" s="16"/>
      <c r="AA96" s="16"/>
      <c r="AB96" s="47">
        <f>0</f>
        <v>0</v>
      </c>
      <c r="AC96" s="47"/>
    </row>
    <row r="97" spans="1:29" s="1" customFormat="1" ht="13.5" customHeight="1">
      <c r="A97" s="13" t="s">
        <v>119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4" t="s">
        <v>85</v>
      </c>
      <c r="M97" s="14"/>
      <c r="N97" s="14"/>
      <c r="O97" s="14" t="s">
        <v>147</v>
      </c>
      <c r="P97" s="14"/>
      <c r="Q97" s="14"/>
      <c r="R97" s="22" t="s">
        <v>120</v>
      </c>
      <c r="S97" s="22"/>
      <c r="T97" s="16">
        <f>758324.24</f>
        <v>758324.24</v>
      </c>
      <c r="U97" s="16"/>
      <c r="V97" s="16"/>
      <c r="W97" s="16">
        <f>758324.24</f>
        <v>758324.24</v>
      </c>
      <c r="X97" s="16"/>
      <c r="Y97" s="16"/>
      <c r="Z97" s="16"/>
      <c r="AA97" s="16"/>
      <c r="AB97" s="47">
        <f>0</f>
        <v>0</v>
      </c>
      <c r="AC97" s="47"/>
    </row>
    <row r="98" spans="1:29" s="1" customFormat="1" ht="13.5" customHeight="1">
      <c r="A98" s="13" t="s">
        <v>111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4" t="s">
        <v>85</v>
      </c>
      <c r="M98" s="14"/>
      <c r="N98" s="14"/>
      <c r="O98" s="14" t="s">
        <v>147</v>
      </c>
      <c r="P98" s="14"/>
      <c r="Q98" s="14"/>
      <c r="R98" s="22" t="s">
        <v>112</v>
      </c>
      <c r="S98" s="22"/>
      <c r="T98" s="16">
        <f>441715.76</f>
        <v>441715.76</v>
      </c>
      <c r="U98" s="16"/>
      <c r="V98" s="16"/>
      <c r="W98" s="16">
        <f>441715.76</f>
        <v>441715.76</v>
      </c>
      <c r="X98" s="16"/>
      <c r="Y98" s="16"/>
      <c r="Z98" s="16"/>
      <c r="AA98" s="16"/>
      <c r="AB98" s="47">
        <f>0</f>
        <v>0</v>
      </c>
      <c r="AC98" s="47"/>
    </row>
    <row r="99" spans="1:29" s="1" customFormat="1" ht="13.5" customHeight="1">
      <c r="A99" s="13" t="s">
        <v>119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4" t="s">
        <v>85</v>
      </c>
      <c r="M99" s="14"/>
      <c r="N99" s="14"/>
      <c r="O99" s="14" t="s">
        <v>148</v>
      </c>
      <c r="P99" s="14"/>
      <c r="Q99" s="14"/>
      <c r="R99" s="22" t="s">
        <v>120</v>
      </c>
      <c r="S99" s="22"/>
      <c r="T99" s="16">
        <f>76180.43</f>
        <v>76180.43</v>
      </c>
      <c r="U99" s="16"/>
      <c r="V99" s="16"/>
      <c r="W99" s="16">
        <f>31636.35</f>
        <v>31636.35</v>
      </c>
      <c r="X99" s="16"/>
      <c r="Y99" s="16"/>
      <c r="Z99" s="16"/>
      <c r="AA99" s="16"/>
      <c r="AB99" s="47">
        <f>44544.08</f>
        <v>44544.08</v>
      </c>
      <c r="AC99" s="47"/>
    </row>
    <row r="100" spans="1:29" s="1" customFormat="1" ht="13.5" customHeight="1">
      <c r="A100" s="13" t="s">
        <v>111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4" t="s">
        <v>85</v>
      </c>
      <c r="M100" s="14"/>
      <c r="N100" s="14"/>
      <c r="O100" s="14" t="s">
        <v>149</v>
      </c>
      <c r="P100" s="14"/>
      <c r="Q100" s="14"/>
      <c r="R100" s="22" t="s">
        <v>112</v>
      </c>
      <c r="S100" s="22"/>
      <c r="T100" s="16">
        <f>27506</f>
        <v>27506</v>
      </c>
      <c r="U100" s="16"/>
      <c r="V100" s="16"/>
      <c r="W100" s="20" t="s">
        <v>47</v>
      </c>
      <c r="X100" s="20"/>
      <c r="Y100" s="20"/>
      <c r="Z100" s="20"/>
      <c r="AA100" s="20"/>
      <c r="AB100" s="47">
        <f>27506</f>
        <v>27506</v>
      </c>
      <c r="AC100" s="47"/>
    </row>
    <row r="101" spans="1:29" s="1" customFormat="1" ht="13.5" customHeight="1">
      <c r="A101" s="13" t="s">
        <v>111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4" t="s">
        <v>85</v>
      </c>
      <c r="M101" s="14"/>
      <c r="N101" s="14"/>
      <c r="O101" s="14" t="s">
        <v>150</v>
      </c>
      <c r="P101" s="14"/>
      <c r="Q101" s="14"/>
      <c r="R101" s="22" t="s">
        <v>112</v>
      </c>
      <c r="S101" s="22"/>
      <c r="T101" s="16">
        <f>965746.96</f>
        <v>965746.96</v>
      </c>
      <c r="U101" s="16"/>
      <c r="V101" s="16"/>
      <c r="W101" s="16">
        <f>965746.96</f>
        <v>965746.96</v>
      </c>
      <c r="X101" s="16"/>
      <c r="Y101" s="16"/>
      <c r="Z101" s="16"/>
      <c r="AA101" s="16"/>
      <c r="AB101" s="47">
        <f>0</f>
        <v>0</v>
      </c>
      <c r="AC101" s="47"/>
    </row>
    <row r="102" spans="1:29" s="1" customFormat="1" ht="13.5" customHeight="1">
      <c r="A102" s="13" t="s">
        <v>104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4" t="s">
        <v>85</v>
      </c>
      <c r="M102" s="14"/>
      <c r="N102" s="14"/>
      <c r="O102" s="14" t="s">
        <v>150</v>
      </c>
      <c r="P102" s="14"/>
      <c r="Q102" s="14"/>
      <c r="R102" s="22" t="s">
        <v>105</v>
      </c>
      <c r="S102" s="22"/>
      <c r="T102" s="16">
        <f>5496.96</f>
        <v>5496.96</v>
      </c>
      <c r="U102" s="16"/>
      <c r="V102" s="16"/>
      <c r="W102" s="16">
        <f>5496.96</f>
        <v>5496.96</v>
      </c>
      <c r="X102" s="16"/>
      <c r="Y102" s="16"/>
      <c r="Z102" s="16"/>
      <c r="AA102" s="16"/>
      <c r="AB102" s="47">
        <f>0</f>
        <v>0</v>
      </c>
      <c r="AC102" s="47"/>
    </row>
    <row r="103" spans="1:29" s="1" customFormat="1" ht="13.5" customHeight="1">
      <c r="A103" s="13" t="s">
        <v>111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4" t="s">
        <v>85</v>
      </c>
      <c r="M103" s="14"/>
      <c r="N103" s="14"/>
      <c r="O103" s="14" t="s">
        <v>151</v>
      </c>
      <c r="P103" s="14"/>
      <c r="Q103" s="14"/>
      <c r="R103" s="22" t="s">
        <v>112</v>
      </c>
      <c r="S103" s="22"/>
      <c r="T103" s="16">
        <f>100000</f>
        <v>100000</v>
      </c>
      <c r="U103" s="16"/>
      <c r="V103" s="16"/>
      <c r="W103" s="20" t="s">
        <v>47</v>
      </c>
      <c r="X103" s="20"/>
      <c r="Y103" s="20"/>
      <c r="Z103" s="20"/>
      <c r="AA103" s="20"/>
      <c r="AB103" s="47">
        <f>100000</f>
        <v>100000</v>
      </c>
      <c r="AC103" s="47"/>
    </row>
    <row r="104" spans="1:29" s="1" customFormat="1" ht="13.5" customHeight="1">
      <c r="A104" s="13" t="s">
        <v>111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4" t="s">
        <v>85</v>
      </c>
      <c r="M104" s="14"/>
      <c r="N104" s="14"/>
      <c r="O104" s="14" t="s">
        <v>152</v>
      </c>
      <c r="P104" s="14"/>
      <c r="Q104" s="14"/>
      <c r="R104" s="22" t="s">
        <v>112</v>
      </c>
      <c r="S104" s="22"/>
      <c r="T104" s="16">
        <f>900000</f>
        <v>900000</v>
      </c>
      <c r="U104" s="16"/>
      <c r="V104" s="16"/>
      <c r="W104" s="20" t="s">
        <v>47</v>
      </c>
      <c r="X104" s="20"/>
      <c r="Y104" s="20"/>
      <c r="Z104" s="20"/>
      <c r="AA104" s="20"/>
      <c r="AB104" s="47">
        <f>900000</f>
        <v>900000</v>
      </c>
      <c r="AC104" s="47"/>
    </row>
    <row r="105" spans="1:29" s="1" customFormat="1" ht="13.5" customHeight="1">
      <c r="A105" s="13" t="s">
        <v>119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4" t="s">
        <v>85</v>
      </c>
      <c r="M105" s="14"/>
      <c r="N105" s="14"/>
      <c r="O105" s="14" t="s">
        <v>153</v>
      </c>
      <c r="P105" s="14"/>
      <c r="Q105" s="14"/>
      <c r="R105" s="22" t="s">
        <v>120</v>
      </c>
      <c r="S105" s="22"/>
      <c r="T105" s="16">
        <f>669.22</f>
        <v>669.22</v>
      </c>
      <c r="U105" s="16"/>
      <c r="V105" s="16"/>
      <c r="W105" s="16">
        <f>669.22</f>
        <v>669.22</v>
      </c>
      <c r="X105" s="16"/>
      <c r="Y105" s="16"/>
      <c r="Z105" s="16"/>
      <c r="AA105" s="16"/>
      <c r="AB105" s="47">
        <f>0</f>
        <v>0</v>
      </c>
      <c r="AC105" s="47"/>
    </row>
    <row r="106" spans="1:29" s="1" customFormat="1" ht="13.5" customHeight="1">
      <c r="A106" s="13" t="s">
        <v>111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4" t="s">
        <v>85</v>
      </c>
      <c r="M106" s="14"/>
      <c r="N106" s="14"/>
      <c r="O106" s="14" t="s">
        <v>153</v>
      </c>
      <c r="P106" s="14"/>
      <c r="Q106" s="14"/>
      <c r="R106" s="22" t="s">
        <v>112</v>
      </c>
      <c r="S106" s="22"/>
      <c r="T106" s="16">
        <f>4461.78</f>
        <v>4461.78</v>
      </c>
      <c r="U106" s="16"/>
      <c r="V106" s="16"/>
      <c r="W106" s="16">
        <f>4461.78</f>
        <v>4461.78</v>
      </c>
      <c r="X106" s="16"/>
      <c r="Y106" s="16"/>
      <c r="Z106" s="16"/>
      <c r="AA106" s="16"/>
      <c r="AB106" s="47">
        <f>0</f>
        <v>0</v>
      </c>
      <c r="AC106" s="47"/>
    </row>
    <row r="107" spans="1:29" s="1" customFormat="1" ht="13.5" customHeight="1">
      <c r="A107" s="13" t="s">
        <v>111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4" t="s">
        <v>85</v>
      </c>
      <c r="M107" s="14"/>
      <c r="N107" s="14"/>
      <c r="O107" s="14" t="s">
        <v>154</v>
      </c>
      <c r="P107" s="14"/>
      <c r="Q107" s="14"/>
      <c r="R107" s="22" t="s">
        <v>112</v>
      </c>
      <c r="S107" s="22"/>
      <c r="T107" s="16">
        <f>20000</f>
        <v>20000</v>
      </c>
      <c r="U107" s="16"/>
      <c r="V107" s="16"/>
      <c r="W107" s="16">
        <f>20000</f>
        <v>20000</v>
      </c>
      <c r="X107" s="16"/>
      <c r="Y107" s="16"/>
      <c r="Z107" s="16"/>
      <c r="AA107" s="16"/>
      <c r="AB107" s="47">
        <f>0</f>
        <v>0</v>
      </c>
      <c r="AC107" s="47"/>
    </row>
    <row r="108" spans="1:29" s="1" customFormat="1" ht="13.5" customHeight="1">
      <c r="A108" s="13" t="s">
        <v>102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4" t="s">
        <v>85</v>
      </c>
      <c r="M108" s="14"/>
      <c r="N108" s="14"/>
      <c r="O108" s="14" t="s">
        <v>155</v>
      </c>
      <c r="P108" s="14"/>
      <c r="Q108" s="14"/>
      <c r="R108" s="22" t="s">
        <v>103</v>
      </c>
      <c r="S108" s="22"/>
      <c r="T108" s="16">
        <f>52000</f>
        <v>52000</v>
      </c>
      <c r="U108" s="16"/>
      <c r="V108" s="16"/>
      <c r="W108" s="16">
        <f>45000</f>
        <v>45000</v>
      </c>
      <c r="X108" s="16"/>
      <c r="Y108" s="16"/>
      <c r="Z108" s="16"/>
      <c r="AA108" s="16"/>
      <c r="AB108" s="47">
        <f>7000</f>
        <v>7000</v>
      </c>
      <c r="AC108" s="47"/>
    </row>
    <row r="109" spans="1:29" s="1" customFormat="1" ht="13.5" customHeight="1">
      <c r="A109" s="13" t="s">
        <v>104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4" t="s">
        <v>85</v>
      </c>
      <c r="M109" s="14"/>
      <c r="N109" s="14"/>
      <c r="O109" s="14" t="s">
        <v>155</v>
      </c>
      <c r="P109" s="14"/>
      <c r="Q109" s="14"/>
      <c r="R109" s="22" t="s">
        <v>105</v>
      </c>
      <c r="S109" s="22"/>
      <c r="T109" s="16">
        <f>47100</f>
        <v>47100</v>
      </c>
      <c r="U109" s="16"/>
      <c r="V109" s="16"/>
      <c r="W109" s="16">
        <f>44100</f>
        <v>44100</v>
      </c>
      <c r="X109" s="16"/>
      <c r="Y109" s="16"/>
      <c r="Z109" s="16"/>
      <c r="AA109" s="16"/>
      <c r="AB109" s="47">
        <f>3000</f>
        <v>3000</v>
      </c>
      <c r="AC109" s="47"/>
    </row>
    <row r="110" spans="1:29" s="1" customFormat="1" ht="24" customHeight="1">
      <c r="A110" s="13" t="s">
        <v>156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4" t="s">
        <v>85</v>
      </c>
      <c r="M110" s="14"/>
      <c r="N110" s="14"/>
      <c r="O110" s="14" t="s">
        <v>157</v>
      </c>
      <c r="P110" s="14"/>
      <c r="Q110" s="14"/>
      <c r="R110" s="22" t="s">
        <v>158</v>
      </c>
      <c r="S110" s="22"/>
      <c r="T110" s="16">
        <f>12661917.27</f>
        <v>12661917.27</v>
      </c>
      <c r="U110" s="16"/>
      <c r="V110" s="16"/>
      <c r="W110" s="16">
        <f>8739829.99</f>
        <v>8739829.99</v>
      </c>
      <c r="X110" s="16"/>
      <c r="Y110" s="16"/>
      <c r="Z110" s="16"/>
      <c r="AA110" s="16"/>
      <c r="AB110" s="47">
        <f>3922087.28</f>
        <v>3922087.28</v>
      </c>
      <c r="AC110" s="47"/>
    </row>
    <row r="111" spans="1:29" s="1" customFormat="1" ht="24" customHeight="1">
      <c r="A111" s="13" t="s">
        <v>156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4" t="s">
        <v>85</v>
      </c>
      <c r="M111" s="14"/>
      <c r="N111" s="14"/>
      <c r="O111" s="14" t="s">
        <v>159</v>
      </c>
      <c r="P111" s="14"/>
      <c r="Q111" s="14"/>
      <c r="R111" s="22" t="s">
        <v>158</v>
      </c>
      <c r="S111" s="22"/>
      <c r="T111" s="16">
        <f>200000</f>
        <v>200000</v>
      </c>
      <c r="U111" s="16"/>
      <c r="V111" s="16"/>
      <c r="W111" s="16">
        <f>200000</f>
        <v>200000</v>
      </c>
      <c r="X111" s="16"/>
      <c r="Y111" s="16"/>
      <c r="Z111" s="16"/>
      <c r="AA111" s="16"/>
      <c r="AB111" s="47">
        <f>0</f>
        <v>0</v>
      </c>
      <c r="AC111" s="47"/>
    </row>
    <row r="112" spans="1:29" s="1" customFormat="1" ht="24" customHeight="1">
      <c r="A112" s="13" t="s">
        <v>156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4" t="s">
        <v>85</v>
      </c>
      <c r="M112" s="14"/>
      <c r="N112" s="14"/>
      <c r="O112" s="14" t="s">
        <v>160</v>
      </c>
      <c r="P112" s="14"/>
      <c r="Q112" s="14"/>
      <c r="R112" s="22" t="s">
        <v>158</v>
      </c>
      <c r="S112" s="22"/>
      <c r="T112" s="16">
        <f>890840</f>
        <v>890840</v>
      </c>
      <c r="U112" s="16"/>
      <c r="V112" s="16"/>
      <c r="W112" s="16">
        <f>890840</f>
        <v>890840</v>
      </c>
      <c r="X112" s="16"/>
      <c r="Y112" s="16"/>
      <c r="Z112" s="16"/>
      <c r="AA112" s="16"/>
      <c r="AB112" s="47">
        <f>0</f>
        <v>0</v>
      </c>
      <c r="AC112" s="47"/>
    </row>
    <row r="113" spans="1:29" s="1" customFormat="1" ht="24" customHeight="1">
      <c r="A113" s="13" t="s">
        <v>156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4" t="s">
        <v>85</v>
      </c>
      <c r="M113" s="14"/>
      <c r="N113" s="14"/>
      <c r="O113" s="14" t="s">
        <v>161</v>
      </c>
      <c r="P113" s="14"/>
      <c r="Q113" s="14"/>
      <c r="R113" s="22" t="s">
        <v>158</v>
      </c>
      <c r="S113" s="22"/>
      <c r="T113" s="16">
        <f>15000</f>
        <v>15000</v>
      </c>
      <c r="U113" s="16"/>
      <c r="V113" s="16"/>
      <c r="W113" s="16">
        <f>15000</f>
        <v>15000</v>
      </c>
      <c r="X113" s="16"/>
      <c r="Y113" s="16"/>
      <c r="Z113" s="16"/>
      <c r="AA113" s="16"/>
      <c r="AB113" s="47">
        <f>0</f>
        <v>0</v>
      </c>
      <c r="AC113" s="47"/>
    </row>
    <row r="114" spans="1:29" s="1" customFormat="1" ht="24" customHeight="1">
      <c r="A114" s="13" t="s">
        <v>162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4" t="s">
        <v>85</v>
      </c>
      <c r="M114" s="14"/>
      <c r="N114" s="14"/>
      <c r="O114" s="14" t="s">
        <v>163</v>
      </c>
      <c r="P114" s="14"/>
      <c r="Q114" s="14"/>
      <c r="R114" s="22" t="s">
        <v>164</v>
      </c>
      <c r="S114" s="22"/>
      <c r="T114" s="16">
        <f>300000</f>
        <v>300000</v>
      </c>
      <c r="U114" s="16"/>
      <c r="V114" s="16"/>
      <c r="W114" s="16">
        <f>225000</f>
        <v>225000</v>
      </c>
      <c r="X114" s="16"/>
      <c r="Y114" s="16"/>
      <c r="Z114" s="16"/>
      <c r="AA114" s="16"/>
      <c r="AB114" s="47">
        <f>75000</f>
        <v>75000</v>
      </c>
      <c r="AC114" s="47"/>
    </row>
    <row r="115" spans="1:29" s="1" customFormat="1" ht="13.5" customHeight="1">
      <c r="A115" s="13" t="s">
        <v>165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4" t="s">
        <v>85</v>
      </c>
      <c r="M115" s="14"/>
      <c r="N115" s="14"/>
      <c r="O115" s="14" t="s">
        <v>166</v>
      </c>
      <c r="P115" s="14"/>
      <c r="Q115" s="14"/>
      <c r="R115" s="22" t="s">
        <v>167</v>
      </c>
      <c r="S115" s="22"/>
      <c r="T115" s="16">
        <f>40000</f>
        <v>40000</v>
      </c>
      <c r="U115" s="16"/>
      <c r="V115" s="16"/>
      <c r="W115" s="20" t="s">
        <v>47</v>
      </c>
      <c r="X115" s="20"/>
      <c r="Y115" s="20"/>
      <c r="Z115" s="20"/>
      <c r="AA115" s="20"/>
      <c r="AB115" s="47">
        <f>40000</f>
        <v>40000</v>
      </c>
      <c r="AC115" s="47"/>
    </row>
    <row r="116" spans="1:29" s="1" customFormat="1" ht="13.5" customHeight="1">
      <c r="A116" s="13" t="s">
        <v>86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4" t="s">
        <v>85</v>
      </c>
      <c r="M116" s="14"/>
      <c r="N116" s="14"/>
      <c r="O116" s="14" t="s">
        <v>168</v>
      </c>
      <c r="P116" s="14"/>
      <c r="Q116" s="14"/>
      <c r="R116" s="22" t="s">
        <v>88</v>
      </c>
      <c r="S116" s="22"/>
      <c r="T116" s="16">
        <f>3252407.41</f>
        <v>3252407.41</v>
      </c>
      <c r="U116" s="16"/>
      <c r="V116" s="16"/>
      <c r="W116" s="16">
        <f>2196603.1</f>
        <v>2196603.1</v>
      </c>
      <c r="X116" s="16"/>
      <c r="Y116" s="16"/>
      <c r="Z116" s="16"/>
      <c r="AA116" s="16"/>
      <c r="AB116" s="47">
        <f>1055804.31</f>
        <v>1055804.31</v>
      </c>
      <c r="AC116" s="47"/>
    </row>
    <row r="117" spans="1:29" s="1" customFormat="1" ht="13.5" customHeight="1">
      <c r="A117" s="13" t="s">
        <v>93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4" t="s">
        <v>85</v>
      </c>
      <c r="M117" s="14"/>
      <c r="N117" s="14"/>
      <c r="O117" s="14" t="s">
        <v>169</v>
      </c>
      <c r="P117" s="14"/>
      <c r="Q117" s="14"/>
      <c r="R117" s="22" t="s">
        <v>95</v>
      </c>
      <c r="S117" s="22"/>
      <c r="T117" s="16">
        <f>276484.4</f>
        <v>276484.4</v>
      </c>
      <c r="U117" s="16"/>
      <c r="V117" s="16"/>
      <c r="W117" s="16">
        <f>198249.4</f>
        <v>198249.4</v>
      </c>
      <c r="X117" s="16"/>
      <c r="Y117" s="16"/>
      <c r="Z117" s="16"/>
      <c r="AA117" s="16"/>
      <c r="AB117" s="47">
        <f>78235</f>
        <v>78235</v>
      </c>
      <c r="AC117" s="47"/>
    </row>
    <row r="118" spans="1:29" s="1" customFormat="1" ht="13.5" customHeight="1">
      <c r="A118" s="13" t="s">
        <v>89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4" t="s">
        <v>85</v>
      </c>
      <c r="M118" s="14"/>
      <c r="N118" s="14"/>
      <c r="O118" s="14" t="s">
        <v>170</v>
      </c>
      <c r="P118" s="14"/>
      <c r="Q118" s="14"/>
      <c r="R118" s="22" t="s">
        <v>91</v>
      </c>
      <c r="S118" s="22"/>
      <c r="T118" s="16">
        <f>965841.3</f>
        <v>965841.3</v>
      </c>
      <c r="U118" s="16"/>
      <c r="V118" s="16"/>
      <c r="W118" s="16">
        <f>662394.88</f>
        <v>662394.88</v>
      </c>
      <c r="X118" s="16"/>
      <c r="Y118" s="16"/>
      <c r="Z118" s="16"/>
      <c r="AA118" s="16"/>
      <c r="AB118" s="47">
        <f>303446.42</f>
        <v>303446.42</v>
      </c>
      <c r="AC118" s="47"/>
    </row>
    <row r="119" spans="1:29" s="1" customFormat="1" ht="13.5" customHeight="1">
      <c r="A119" s="13" t="s">
        <v>97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4" t="s">
        <v>85</v>
      </c>
      <c r="M119" s="14"/>
      <c r="N119" s="14"/>
      <c r="O119" s="14" t="s">
        <v>171</v>
      </c>
      <c r="P119" s="14"/>
      <c r="Q119" s="14"/>
      <c r="R119" s="22" t="s">
        <v>99</v>
      </c>
      <c r="S119" s="22"/>
      <c r="T119" s="16">
        <f>49150.12</f>
        <v>49150.12</v>
      </c>
      <c r="U119" s="16"/>
      <c r="V119" s="16"/>
      <c r="W119" s="16">
        <f>25540.98</f>
        <v>25540.98</v>
      </c>
      <c r="X119" s="16"/>
      <c r="Y119" s="16"/>
      <c r="Z119" s="16"/>
      <c r="AA119" s="16"/>
      <c r="AB119" s="47">
        <f>23609.14</f>
        <v>23609.14</v>
      </c>
      <c r="AC119" s="47"/>
    </row>
    <row r="120" spans="1:29" s="1" customFormat="1" ht="13.5" customHeight="1">
      <c r="A120" s="13" t="s">
        <v>123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4" t="s">
        <v>85</v>
      </c>
      <c r="M120" s="14"/>
      <c r="N120" s="14"/>
      <c r="O120" s="14" t="s">
        <v>171</v>
      </c>
      <c r="P120" s="14"/>
      <c r="Q120" s="14"/>
      <c r="R120" s="22" t="s">
        <v>125</v>
      </c>
      <c r="S120" s="22"/>
      <c r="T120" s="16">
        <f>136000</f>
        <v>136000</v>
      </c>
      <c r="U120" s="16"/>
      <c r="V120" s="16"/>
      <c r="W120" s="16">
        <f>88500</f>
        <v>88500</v>
      </c>
      <c r="X120" s="16"/>
      <c r="Y120" s="16"/>
      <c r="Z120" s="16"/>
      <c r="AA120" s="16"/>
      <c r="AB120" s="47">
        <f>47500</f>
        <v>47500</v>
      </c>
      <c r="AC120" s="47"/>
    </row>
    <row r="121" spans="1:29" s="1" customFormat="1" ht="13.5" customHeight="1">
      <c r="A121" s="13" t="s">
        <v>116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4" t="s">
        <v>85</v>
      </c>
      <c r="M121" s="14"/>
      <c r="N121" s="14"/>
      <c r="O121" s="14" t="s">
        <v>171</v>
      </c>
      <c r="P121" s="14"/>
      <c r="Q121" s="14"/>
      <c r="R121" s="22" t="s">
        <v>118</v>
      </c>
      <c r="S121" s="22"/>
      <c r="T121" s="16">
        <f>725232.41</f>
        <v>725232.41</v>
      </c>
      <c r="U121" s="16"/>
      <c r="V121" s="16"/>
      <c r="W121" s="16">
        <f>386928.02</f>
        <v>386928.02</v>
      </c>
      <c r="X121" s="16"/>
      <c r="Y121" s="16"/>
      <c r="Z121" s="16"/>
      <c r="AA121" s="16"/>
      <c r="AB121" s="47">
        <f>338304.39</f>
        <v>338304.39</v>
      </c>
      <c r="AC121" s="47"/>
    </row>
    <row r="122" spans="1:29" s="1" customFormat="1" ht="13.5" customHeight="1">
      <c r="A122" s="13" t="s">
        <v>119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4" t="s">
        <v>85</v>
      </c>
      <c r="M122" s="14"/>
      <c r="N122" s="14"/>
      <c r="O122" s="14" t="s">
        <v>171</v>
      </c>
      <c r="P122" s="14"/>
      <c r="Q122" s="14"/>
      <c r="R122" s="22" t="s">
        <v>120</v>
      </c>
      <c r="S122" s="22"/>
      <c r="T122" s="16">
        <f>252601.63</f>
        <v>252601.63</v>
      </c>
      <c r="U122" s="16"/>
      <c r="V122" s="16"/>
      <c r="W122" s="16">
        <f>175216.43</f>
        <v>175216.43</v>
      </c>
      <c r="X122" s="16"/>
      <c r="Y122" s="16"/>
      <c r="Z122" s="16"/>
      <c r="AA122" s="16"/>
      <c r="AB122" s="47">
        <f>77385.2</f>
        <v>77385.2</v>
      </c>
      <c r="AC122" s="47"/>
    </row>
    <row r="123" spans="1:29" s="1" customFormat="1" ht="13.5" customHeight="1">
      <c r="A123" s="13" t="s">
        <v>100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4" t="s">
        <v>85</v>
      </c>
      <c r="M123" s="14"/>
      <c r="N123" s="14"/>
      <c r="O123" s="14" t="s">
        <v>171</v>
      </c>
      <c r="P123" s="14"/>
      <c r="Q123" s="14"/>
      <c r="R123" s="22" t="s">
        <v>101</v>
      </c>
      <c r="S123" s="22"/>
      <c r="T123" s="16">
        <f>284338.4</f>
        <v>284338.4</v>
      </c>
      <c r="U123" s="16"/>
      <c r="V123" s="16"/>
      <c r="W123" s="16">
        <f>172978.07</f>
        <v>172978.07</v>
      </c>
      <c r="X123" s="16"/>
      <c r="Y123" s="16"/>
      <c r="Z123" s="16"/>
      <c r="AA123" s="16"/>
      <c r="AB123" s="47">
        <f>111360.33</f>
        <v>111360.33</v>
      </c>
      <c r="AC123" s="47"/>
    </row>
    <row r="124" spans="1:29" s="1" customFormat="1" ht="13.5" customHeight="1">
      <c r="A124" s="13" t="s">
        <v>102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4" t="s">
        <v>85</v>
      </c>
      <c r="M124" s="14"/>
      <c r="N124" s="14"/>
      <c r="O124" s="14" t="s">
        <v>171</v>
      </c>
      <c r="P124" s="14"/>
      <c r="Q124" s="14"/>
      <c r="R124" s="22" t="s">
        <v>103</v>
      </c>
      <c r="S124" s="22"/>
      <c r="T124" s="16">
        <f>160800</f>
        <v>160800</v>
      </c>
      <c r="U124" s="16"/>
      <c r="V124" s="16"/>
      <c r="W124" s="16">
        <f>137300</f>
        <v>137300</v>
      </c>
      <c r="X124" s="16"/>
      <c r="Y124" s="16"/>
      <c r="Z124" s="16"/>
      <c r="AA124" s="16"/>
      <c r="AB124" s="47">
        <f>23500</f>
        <v>23500</v>
      </c>
      <c r="AC124" s="47"/>
    </row>
    <row r="125" spans="1:29" s="1" customFormat="1" ht="13.5" customHeight="1">
      <c r="A125" s="13" t="s">
        <v>111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4" t="s">
        <v>85</v>
      </c>
      <c r="M125" s="14"/>
      <c r="N125" s="14"/>
      <c r="O125" s="14" t="s">
        <v>171</v>
      </c>
      <c r="P125" s="14"/>
      <c r="Q125" s="14"/>
      <c r="R125" s="22" t="s">
        <v>112</v>
      </c>
      <c r="S125" s="22"/>
      <c r="T125" s="16">
        <f>413742</f>
        <v>413742</v>
      </c>
      <c r="U125" s="16"/>
      <c r="V125" s="16"/>
      <c r="W125" s="16">
        <f>40135</f>
        <v>40135</v>
      </c>
      <c r="X125" s="16"/>
      <c r="Y125" s="16"/>
      <c r="Z125" s="16"/>
      <c r="AA125" s="16"/>
      <c r="AB125" s="47">
        <f>373607</f>
        <v>373607</v>
      </c>
      <c r="AC125" s="47"/>
    </row>
    <row r="126" spans="1:29" s="1" customFormat="1" ht="13.5" customHeight="1">
      <c r="A126" s="13" t="s">
        <v>104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4" t="s">
        <v>85</v>
      </c>
      <c r="M126" s="14"/>
      <c r="N126" s="14"/>
      <c r="O126" s="14" t="s">
        <v>171</v>
      </c>
      <c r="P126" s="14"/>
      <c r="Q126" s="14"/>
      <c r="R126" s="22" t="s">
        <v>105</v>
      </c>
      <c r="S126" s="22"/>
      <c r="T126" s="16">
        <f>81184</f>
        <v>81184</v>
      </c>
      <c r="U126" s="16"/>
      <c r="V126" s="16"/>
      <c r="W126" s="16">
        <f>81184</f>
        <v>81184</v>
      </c>
      <c r="X126" s="16"/>
      <c r="Y126" s="16"/>
      <c r="Z126" s="16"/>
      <c r="AA126" s="16"/>
      <c r="AB126" s="47">
        <f>0</f>
        <v>0</v>
      </c>
      <c r="AC126" s="47"/>
    </row>
    <row r="127" spans="1:29" s="1" customFormat="1" ht="13.5" customHeight="1">
      <c r="A127" s="13" t="s">
        <v>102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4" t="s">
        <v>85</v>
      </c>
      <c r="M127" s="14"/>
      <c r="N127" s="14"/>
      <c r="O127" s="14" t="s">
        <v>172</v>
      </c>
      <c r="P127" s="14"/>
      <c r="Q127" s="14"/>
      <c r="R127" s="22" t="s">
        <v>103</v>
      </c>
      <c r="S127" s="22"/>
      <c r="T127" s="16">
        <f>28000</f>
        <v>28000</v>
      </c>
      <c r="U127" s="16"/>
      <c r="V127" s="16"/>
      <c r="W127" s="16">
        <f>19866</f>
        <v>19866</v>
      </c>
      <c r="X127" s="16"/>
      <c r="Y127" s="16"/>
      <c r="Z127" s="16"/>
      <c r="AA127" s="16"/>
      <c r="AB127" s="47">
        <f>8134</f>
        <v>8134</v>
      </c>
      <c r="AC127" s="47"/>
    </row>
    <row r="128" spans="1:29" s="1" customFormat="1" ht="13.5" customHeight="1">
      <c r="A128" s="13" t="s">
        <v>104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4" t="s">
        <v>85</v>
      </c>
      <c r="M128" s="14"/>
      <c r="N128" s="14"/>
      <c r="O128" s="14" t="s">
        <v>173</v>
      </c>
      <c r="P128" s="14"/>
      <c r="Q128" s="14"/>
      <c r="R128" s="22" t="s">
        <v>105</v>
      </c>
      <c r="S128" s="22"/>
      <c r="T128" s="16">
        <f>154151</f>
        <v>154151</v>
      </c>
      <c r="U128" s="16"/>
      <c r="V128" s="16"/>
      <c r="W128" s="16">
        <f>154151</f>
        <v>154151</v>
      </c>
      <c r="X128" s="16"/>
      <c r="Y128" s="16"/>
      <c r="Z128" s="16"/>
      <c r="AA128" s="16"/>
      <c r="AB128" s="47">
        <f>0</f>
        <v>0</v>
      </c>
      <c r="AC128" s="47"/>
    </row>
    <row r="129" spans="1:29" s="1" customFormat="1" ht="13.5" customHeight="1">
      <c r="A129" s="13" t="s">
        <v>111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4" t="s">
        <v>85</v>
      </c>
      <c r="M129" s="14"/>
      <c r="N129" s="14"/>
      <c r="O129" s="14" t="s">
        <v>174</v>
      </c>
      <c r="P129" s="14"/>
      <c r="Q129" s="14"/>
      <c r="R129" s="22" t="s">
        <v>112</v>
      </c>
      <c r="S129" s="22"/>
      <c r="T129" s="16">
        <f>500000</f>
        <v>500000</v>
      </c>
      <c r="U129" s="16"/>
      <c r="V129" s="16"/>
      <c r="W129" s="16">
        <f>497545.62</f>
        <v>497545.62</v>
      </c>
      <c r="X129" s="16"/>
      <c r="Y129" s="16"/>
      <c r="Z129" s="16"/>
      <c r="AA129" s="16"/>
      <c r="AB129" s="47">
        <f>2454.38</f>
        <v>2454.38</v>
      </c>
      <c r="AC129" s="47"/>
    </row>
    <row r="130" spans="1:29" s="1" customFormat="1" ht="13.5" customHeight="1">
      <c r="A130" s="13" t="s">
        <v>111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4" t="s">
        <v>85</v>
      </c>
      <c r="M130" s="14"/>
      <c r="N130" s="14"/>
      <c r="O130" s="14" t="s">
        <v>175</v>
      </c>
      <c r="P130" s="14"/>
      <c r="Q130" s="14"/>
      <c r="R130" s="22" t="s">
        <v>112</v>
      </c>
      <c r="S130" s="22"/>
      <c r="T130" s="16">
        <f>3000000</f>
        <v>3000000</v>
      </c>
      <c r="U130" s="16"/>
      <c r="V130" s="16"/>
      <c r="W130" s="20" t="s">
        <v>47</v>
      </c>
      <c r="X130" s="20"/>
      <c r="Y130" s="20"/>
      <c r="Z130" s="20"/>
      <c r="AA130" s="20"/>
      <c r="AB130" s="47">
        <f>3000000</f>
        <v>3000000</v>
      </c>
      <c r="AC130" s="47"/>
    </row>
    <row r="131" spans="1:29" s="1" customFormat="1" ht="13.5" customHeight="1">
      <c r="A131" s="13" t="s">
        <v>111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4" t="s">
        <v>85</v>
      </c>
      <c r="M131" s="14"/>
      <c r="N131" s="14"/>
      <c r="O131" s="14" t="s">
        <v>176</v>
      </c>
      <c r="P131" s="14"/>
      <c r="Q131" s="14"/>
      <c r="R131" s="22" t="s">
        <v>112</v>
      </c>
      <c r="S131" s="22"/>
      <c r="T131" s="16">
        <f>15000</f>
        <v>15000</v>
      </c>
      <c r="U131" s="16"/>
      <c r="V131" s="16"/>
      <c r="W131" s="16">
        <f>15000</f>
        <v>15000</v>
      </c>
      <c r="X131" s="16"/>
      <c r="Y131" s="16"/>
      <c r="Z131" s="16"/>
      <c r="AA131" s="16"/>
      <c r="AB131" s="47">
        <f>0</f>
        <v>0</v>
      </c>
      <c r="AC131" s="47"/>
    </row>
    <row r="132" spans="1:29" s="1" customFormat="1" ht="13.5" customHeight="1">
      <c r="A132" s="13" t="s">
        <v>177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4" t="s">
        <v>85</v>
      </c>
      <c r="M132" s="14"/>
      <c r="N132" s="14"/>
      <c r="O132" s="14" t="s">
        <v>178</v>
      </c>
      <c r="P132" s="14"/>
      <c r="Q132" s="14"/>
      <c r="R132" s="22" t="s">
        <v>179</v>
      </c>
      <c r="S132" s="22"/>
      <c r="T132" s="16">
        <f>29900201.19</f>
        <v>29900201.19</v>
      </c>
      <c r="U132" s="16"/>
      <c r="V132" s="16"/>
      <c r="W132" s="16">
        <f>22236908</f>
        <v>22236908</v>
      </c>
      <c r="X132" s="16"/>
      <c r="Y132" s="16"/>
      <c r="Z132" s="16"/>
      <c r="AA132" s="16"/>
      <c r="AB132" s="47">
        <f>7663293.19</f>
        <v>7663293.19</v>
      </c>
      <c r="AC132" s="47"/>
    </row>
    <row r="133" spans="1:29" s="1" customFormat="1" ht="15" customHeight="1">
      <c r="A133" s="48" t="s">
        <v>180</v>
      </c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9" t="s">
        <v>181</v>
      </c>
      <c r="M133" s="49"/>
      <c r="N133" s="49"/>
      <c r="O133" s="49" t="s">
        <v>38</v>
      </c>
      <c r="P133" s="49"/>
      <c r="Q133" s="49"/>
      <c r="R133" s="50" t="s">
        <v>38</v>
      </c>
      <c r="S133" s="50"/>
      <c r="T133" s="51">
        <f>-4543364.1</f>
        <v>-4543364.1</v>
      </c>
      <c r="U133" s="51"/>
      <c r="V133" s="51"/>
      <c r="W133" s="51">
        <f>9179492.26</f>
        <v>9179492.26</v>
      </c>
      <c r="X133" s="51"/>
      <c r="Y133" s="51"/>
      <c r="Z133" s="51"/>
      <c r="AA133" s="51"/>
      <c r="AB133" s="52" t="s">
        <v>38</v>
      </c>
      <c r="AC133" s="52"/>
    </row>
    <row r="134" spans="1:29" s="1" customFormat="1" ht="13.5" customHeight="1">
      <c r="A134" s="8" t="s">
        <v>18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 spans="1:29" s="1" customFormat="1" ht="13.5" customHeight="1">
      <c r="A135" s="43" t="s">
        <v>182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</row>
    <row r="136" spans="1:29" s="1" customFormat="1" ht="45.75" customHeight="1">
      <c r="A136" s="44" t="s">
        <v>24</v>
      </c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 t="s">
        <v>25</v>
      </c>
      <c r="N136" s="44"/>
      <c r="O136" s="44"/>
      <c r="P136" s="44" t="s">
        <v>183</v>
      </c>
      <c r="Q136" s="44"/>
      <c r="R136" s="44"/>
      <c r="S136" s="45" t="s">
        <v>27</v>
      </c>
      <c r="T136" s="45"/>
      <c r="U136" s="45"/>
      <c r="V136" s="45" t="s">
        <v>28</v>
      </c>
      <c r="W136" s="45"/>
      <c r="X136" s="45"/>
      <c r="Y136" s="45"/>
      <c r="Z136" s="45"/>
      <c r="AA136" s="46" t="s">
        <v>29</v>
      </c>
      <c r="AB136" s="46"/>
      <c r="AC136" s="46"/>
    </row>
    <row r="137" spans="1:29" s="1" customFormat="1" ht="12.75" customHeight="1">
      <c r="A137" s="40" t="s">
        <v>30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 t="s">
        <v>31</v>
      </c>
      <c r="N137" s="40"/>
      <c r="O137" s="40"/>
      <c r="P137" s="40" t="s">
        <v>32</v>
      </c>
      <c r="Q137" s="40"/>
      <c r="R137" s="40"/>
      <c r="S137" s="41" t="s">
        <v>33</v>
      </c>
      <c r="T137" s="41"/>
      <c r="U137" s="41"/>
      <c r="V137" s="41" t="s">
        <v>34</v>
      </c>
      <c r="W137" s="41"/>
      <c r="X137" s="41"/>
      <c r="Y137" s="41"/>
      <c r="Z137" s="41"/>
      <c r="AA137" s="42" t="s">
        <v>35</v>
      </c>
      <c r="AB137" s="42"/>
      <c r="AC137" s="42"/>
    </row>
    <row r="138" spans="1:29" s="1" customFormat="1" ht="13.5" customHeight="1">
      <c r="A138" s="34" t="s">
        <v>184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5" t="s">
        <v>185</v>
      </c>
      <c r="N138" s="35"/>
      <c r="O138" s="35"/>
      <c r="P138" s="35" t="s">
        <v>38</v>
      </c>
      <c r="Q138" s="35"/>
      <c r="R138" s="35"/>
      <c r="S138" s="36">
        <f>4543364.1</f>
        <v>4543364.1</v>
      </c>
      <c r="T138" s="36"/>
      <c r="U138" s="36"/>
      <c r="V138" s="37">
        <f>-9179492.26</f>
        <v>-9179492.26</v>
      </c>
      <c r="W138" s="37"/>
      <c r="X138" s="37"/>
      <c r="Y138" s="37"/>
      <c r="Z138" s="37"/>
      <c r="AA138" s="38">
        <v>13722856.36</v>
      </c>
      <c r="AB138" s="39"/>
      <c r="AC138" s="39"/>
    </row>
    <row r="139" spans="1:29" s="1" customFormat="1" ht="13.5" customHeight="1">
      <c r="A139" s="32" t="s">
        <v>186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23" t="s">
        <v>18</v>
      </c>
      <c r="N139" s="23"/>
      <c r="O139" s="23"/>
      <c r="P139" s="23" t="s">
        <v>18</v>
      </c>
      <c r="Q139" s="23"/>
      <c r="R139" s="23"/>
      <c r="S139" s="24" t="s">
        <v>18</v>
      </c>
      <c r="T139" s="24"/>
      <c r="U139" s="24"/>
      <c r="V139" s="33" t="s">
        <v>18</v>
      </c>
      <c r="W139" s="33"/>
      <c r="X139" s="33"/>
      <c r="Y139" s="33"/>
      <c r="Z139" s="33"/>
      <c r="AA139" s="25" t="s">
        <v>18</v>
      </c>
      <c r="AB139" s="25"/>
      <c r="AC139" s="25"/>
    </row>
    <row r="140" spans="1:29" s="1" customFormat="1" ht="13.5" customHeight="1">
      <c r="A140" s="26" t="s">
        <v>187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7" t="s">
        <v>188</v>
      </c>
      <c r="N140" s="27"/>
      <c r="O140" s="27"/>
      <c r="P140" s="28" t="s">
        <v>38</v>
      </c>
      <c r="Q140" s="28"/>
      <c r="R140" s="28"/>
      <c r="S140" s="29" t="s">
        <v>47</v>
      </c>
      <c r="T140" s="29"/>
      <c r="U140" s="29"/>
      <c r="V140" s="30" t="s">
        <v>47</v>
      </c>
      <c r="W140" s="30"/>
      <c r="X140" s="30"/>
      <c r="Y140" s="30"/>
      <c r="Z140" s="30"/>
      <c r="AA140" s="31" t="s">
        <v>47</v>
      </c>
      <c r="AB140" s="31"/>
      <c r="AC140" s="31"/>
    </row>
    <row r="141" spans="1:29" s="1" customFormat="1" ht="13.5" customHeight="1">
      <c r="A141" s="22" t="s">
        <v>18</v>
      </c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</row>
    <row r="142" spans="1:29" s="1" customFormat="1" ht="13.5" customHeight="1">
      <c r="A142" s="13" t="s">
        <v>189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23" t="s">
        <v>190</v>
      </c>
      <c r="N142" s="23"/>
      <c r="O142" s="23"/>
      <c r="P142" s="23" t="s">
        <v>38</v>
      </c>
      <c r="Q142" s="23"/>
      <c r="R142" s="23"/>
      <c r="S142" s="24" t="s">
        <v>47</v>
      </c>
      <c r="T142" s="24"/>
      <c r="U142" s="24"/>
      <c r="V142" s="20" t="s">
        <v>47</v>
      </c>
      <c r="W142" s="20"/>
      <c r="X142" s="20"/>
      <c r="Y142" s="20"/>
      <c r="Z142" s="20"/>
      <c r="AA142" s="25" t="s">
        <v>47</v>
      </c>
      <c r="AB142" s="25"/>
      <c r="AC142" s="25"/>
    </row>
    <row r="143" spans="1:29" s="1" customFormat="1" ht="13.5" customHeight="1">
      <c r="A143" s="13" t="s">
        <v>18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4" t="s">
        <v>190</v>
      </c>
      <c r="N143" s="14"/>
      <c r="O143" s="14"/>
      <c r="P143" s="14" t="s">
        <v>18</v>
      </c>
      <c r="Q143" s="14"/>
      <c r="R143" s="14"/>
      <c r="S143" s="19" t="s">
        <v>47</v>
      </c>
      <c r="T143" s="19"/>
      <c r="U143" s="19"/>
      <c r="V143" s="20" t="s">
        <v>47</v>
      </c>
      <c r="W143" s="20"/>
      <c r="X143" s="20"/>
      <c r="Y143" s="20"/>
      <c r="Z143" s="20"/>
      <c r="AA143" s="21" t="s">
        <v>47</v>
      </c>
      <c r="AB143" s="21"/>
      <c r="AC143" s="21"/>
    </row>
    <row r="144" spans="1:29" s="1" customFormat="1" ht="13.5" customHeight="1">
      <c r="A144" s="13" t="s">
        <v>191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4" t="s">
        <v>192</v>
      </c>
      <c r="N144" s="14"/>
      <c r="O144" s="14"/>
      <c r="P144" s="14" t="s">
        <v>210</v>
      </c>
      <c r="Q144" s="14"/>
      <c r="R144" s="14"/>
      <c r="S144" s="15">
        <f>4543364.1</f>
        <v>4543364.1</v>
      </c>
      <c r="T144" s="15"/>
      <c r="U144" s="15"/>
      <c r="V144" s="16">
        <f>-9179492.26</f>
        <v>-9179492.26</v>
      </c>
      <c r="W144" s="16"/>
      <c r="X144" s="16"/>
      <c r="Y144" s="16"/>
      <c r="Z144" s="16"/>
      <c r="AA144" s="18">
        <f>13722856.36</f>
        <v>13722856.36</v>
      </c>
      <c r="AB144" s="18"/>
      <c r="AC144" s="18"/>
    </row>
    <row r="145" spans="1:29" s="1" customFormat="1" ht="13.5" customHeight="1">
      <c r="A145" s="13" t="s">
        <v>208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4" t="s">
        <v>193</v>
      </c>
      <c r="N145" s="14"/>
      <c r="O145" s="14"/>
      <c r="P145" s="14" t="s">
        <v>194</v>
      </c>
      <c r="Q145" s="14"/>
      <c r="R145" s="14"/>
      <c r="S145" s="15">
        <f>-79286395.61</f>
        <v>-79286395.61</v>
      </c>
      <c r="T145" s="15"/>
      <c r="U145" s="15"/>
      <c r="V145" s="16">
        <f>-63902048.11</f>
        <v>-63902048.11</v>
      </c>
      <c r="W145" s="16"/>
      <c r="X145" s="16"/>
      <c r="Y145" s="16"/>
      <c r="Z145" s="16"/>
      <c r="AA145" s="17" t="s">
        <v>38</v>
      </c>
      <c r="AB145" s="17"/>
      <c r="AC145" s="17"/>
    </row>
    <row r="146" spans="1:29" s="1" customFormat="1" ht="13.5" customHeight="1">
      <c r="A146" s="13" t="s">
        <v>209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4" t="s">
        <v>195</v>
      </c>
      <c r="N146" s="14"/>
      <c r="O146" s="14"/>
      <c r="P146" s="14" t="s">
        <v>196</v>
      </c>
      <c r="Q146" s="14"/>
      <c r="R146" s="14"/>
      <c r="S146" s="15">
        <f>83829759.71</f>
        <v>83829759.71</v>
      </c>
      <c r="T146" s="15"/>
      <c r="U146" s="15"/>
      <c r="V146" s="16">
        <f>54722555.85</f>
        <v>54722555.85</v>
      </c>
      <c r="W146" s="16"/>
      <c r="X146" s="16"/>
      <c r="Y146" s="16"/>
      <c r="Z146" s="16"/>
      <c r="AA146" s="17" t="s">
        <v>38</v>
      </c>
      <c r="AB146" s="17"/>
      <c r="AC146" s="17"/>
    </row>
    <row r="147" spans="1:29" s="1" customFormat="1" ht="13.5" customHeight="1">
      <c r="A147" s="12" t="s">
        <v>18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</row>
    <row r="148" spans="1:29" s="1" customFormat="1" ht="13.5" customHeight="1">
      <c r="A148" s="8" t="s">
        <v>197</v>
      </c>
      <c r="B148" s="8"/>
      <c r="C148" s="8"/>
      <c r="D148" s="8"/>
      <c r="E148" s="8"/>
      <c r="F148" s="8"/>
      <c r="G148" s="8"/>
      <c r="H148" s="8"/>
      <c r="I148" s="11" t="s">
        <v>18</v>
      </c>
      <c r="J148" s="11"/>
      <c r="K148" s="11"/>
      <c r="L148" s="11"/>
      <c r="M148" s="11"/>
      <c r="N148" s="11"/>
      <c r="O148" s="11"/>
      <c r="P148" s="11" t="s">
        <v>198</v>
      </c>
      <c r="Q148" s="11"/>
      <c r="R148" s="11"/>
      <c r="S148" s="11"/>
      <c r="T148" s="11"/>
      <c r="U148" s="8" t="s">
        <v>18</v>
      </c>
      <c r="V148" s="8"/>
      <c r="W148" s="8"/>
      <c r="X148" s="8"/>
      <c r="Y148" s="8"/>
      <c r="Z148" s="8"/>
      <c r="AA148" s="8"/>
      <c r="AB148" s="8"/>
      <c r="AC148" s="8"/>
    </row>
    <row r="149" spans="1:29" s="1" customFormat="1" ht="13.5" customHeight="1">
      <c r="A149" s="8" t="s">
        <v>18</v>
      </c>
      <c r="B149" s="8"/>
      <c r="C149" s="8"/>
      <c r="D149" s="8"/>
      <c r="E149" s="8"/>
      <c r="F149" s="8"/>
      <c r="G149" s="8"/>
      <c r="H149" s="8"/>
      <c r="I149" s="5" t="s">
        <v>18</v>
      </c>
      <c r="J149" s="10" t="s">
        <v>199</v>
      </c>
      <c r="K149" s="10"/>
      <c r="L149" s="10"/>
      <c r="M149" s="10"/>
      <c r="N149" s="8" t="s">
        <v>18</v>
      </c>
      <c r="O149" s="8"/>
      <c r="P149" s="5" t="s">
        <v>18</v>
      </c>
      <c r="Q149" s="10" t="s">
        <v>200</v>
      </c>
      <c r="R149" s="10"/>
      <c r="S149" s="10"/>
      <c r="T149" s="8" t="s">
        <v>18</v>
      </c>
      <c r="U149" s="8"/>
      <c r="V149" s="8"/>
      <c r="W149" s="8"/>
      <c r="X149" s="8"/>
      <c r="Y149" s="8"/>
      <c r="Z149" s="8"/>
      <c r="AA149" s="8"/>
      <c r="AB149" s="8"/>
      <c r="AC149" s="8"/>
    </row>
    <row r="150" spans="1:29" s="1" customFormat="1" ht="7.5" customHeight="1">
      <c r="A150" s="8" t="s">
        <v>18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 spans="1:29" s="1" customFormat="1" ht="13.5" customHeight="1">
      <c r="A151" s="8" t="s">
        <v>201</v>
      </c>
      <c r="B151" s="8"/>
      <c r="C151" s="8"/>
      <c r="D151" s="8"/>
      <c r="E151" s="8"/>
      <c r="F151" s="8"/>
      <c r="G151" s="8"/>
      <c r="H151" s="8"/>
      <c r="I151" s="11" t="s">
        <v>18</v>
      </c>
      <c r="J151" s="11"/>
      <c r="K151" s="11"/>
      <c r="L151" s="11"/>
      <c r="M151" s="11"/>
      <c r="N151" s="11"/>
      <c r="O151" s="11"/>
      <c r="P151" s="11" t="s">
        <v>202</v>
      </c>
      <c r="Q151" s="11"/>
      <c r="R151" s="11"/>
      <c r="S151" s="11"/>
      <c r="T151" s="11"/>
      <c r="U151" s="8" t="s">
        <v>18</v>
      </c>
      <c r="V151" s="8"/>
      <c r="W151" s="8"/>
      <c r="X151" s="8"/>
      <c r="Y151" s="8"/>
      <c r="Z151" s="8"/>
      <c r="AA151" s="8"/>
      <c r="AB151" s="8"/>
      <c r="AC151" s="8"/>
    </row>
    <row r="152" spans="1:29" s="1" customFormat="1" ht="13.5" customHeight="1">
      <c r="A152" s="8" t="s">
        <v>18</v>
      </c>
      <c r="B152" s="8"/>
      <c r="C152" s="8"/>
      <c r="D152" s="8"/>
      <c r="E152" s="8"/>
      <c r="F152" s="8"/>
      <c r="G152" s="8"/>
      <c r="H152" s="8"/>
      <c r="I152" s="5" t="s">
        <v>18</v>
      </c>
      <c r="J152" s="10" t="s">
        <v>199</v>
      </c>
      <c r="K152" s="10"/>
      <c r="L152" s="10"/>
      <c r="M152" s="10"/>
      <c r="N152" s="8" t="s">
        <v>18</v>
      </c>
      <c r="O152" s="8"/>
      <c r="P152" s="5" t="s">
        <v>18</v>
      </c>
      <c r="Q152" s="10" t="s">
        <v>200</v>
      </c>
      <c r="R152" s="10"/>
      <c r="S152" s="10"/>
      <c r="T152" s="8" t="s">
        <v>18</v>
      </c>
      <c r="U152" s="8"/>
      <c r="V152" s="8"/>
      <c r="W152" s="8"/>
      <c r="X152" s="8"/>
      <c r="Y152" s="8"/>
      <c r="Z152" s="8"/>
      <c r="AA152" s="8"/>
      <c r="AB152" s="8"/>
      <c r="AC152" s="8"/>
    </row>
    <row r="153" spans="1:29" s="1" customFormat="1" ht="7.5" customHeight="1">
      <c r="A153" s="8" t="s">
        <v>18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 spans="1:29" s="1" customFormat="1" ht="13.5" customHeight="1">
      <c r="A154" s="8" t="s">
        <v>203</v>
      </c>
      <c r="B154" s="8"/>
      <c r="C154" s="11" t="s">
        <v>204</v>
      </c>
      <c r="D154" s="11"/>
      <c r="E154" s="11"/>
      <c r="F154" s="11"/>
      <c r="G154" s="11"/>
      <c r="H154" s="11"/>
      <c r="I154" s="11" t="s">
        <v>18</v>
      </c>
      <c r="J154" s="11"/>
      <c r="K154" s="11"/>
      <c r="L154" s="11"/>
      <c r="M154" s="11"/>
      <c r="N154" s="11"/>
      <c r="O154" s="11"/>
      <c r="P154" s="11" t="s">
        <v>205</v>
      </c>
      <c r="Q154" s="11"/>
      <c r="R154" s="11"/>
      <c r="S154" s="11"/>
      <c r="T154" s="11"/>
      <c r="U154" s="8" t="s">
        <v>18</v>
      </c>
      <c r="V154" s="8"/>
      <c r="W154" s="8"/>
      <c r="X154" s="8"/>
      <c r="Y154" s="8"/>
      <c r="Z154" s="8"/>
      <c r="AA154" s="8"/>
      <c r="AB154" s="8"/>
      <c r="AC154" s="8"/>
    </row>
    <row r="155" spans="1:29" s="1" customFormat="1" ht="13.5" customHeight="1">
      <c r="A155" s="8" t="s">
        <v>18</v>
      </c>
      <c r="B155" s="8"/>
      <c r="C155" s="5" t="s">
        <v>18</v>
      </c>
      <c r="D155" s="10" t="s">
        <v>206</v>
      </c>
      <c r="E155" s="10"/>
      <c r="F155" s="10"/>
      <c r="G155" s="10"/>
      <c r="H155" s="5" t="s">
        <v>18</v>
      </c>
      <c r="I155" s="5" t="s">
        <v>18</v>
      </c>
      <c r="J155" s="10" t="s">
        <v>199</v>
      </c>
      <c r="K155" s="10"/>
      <c r="L155" s="10"/>
      <c r="M155" s="10"/>
      <c r="N155" s="8" t="s">
        <v>18</v>
      </c>
      <c r="O155" s="8"/>
      <c r="P155" s="5" t="s">
        <v>18</v>
      </c>
      <c r="Q155" s="10" t="s">
        <v>200</v>
      </c>
      <c r="R155" s="10"/>
      <c r="S155" s="10"/>
      <c r="T155" s="8" t="s">
        <v>18</v>
      </c>
      <c r="U155" s="8"/>
      <c r="V155" s="8"/>
      <c r="W155" s="8"/>
      <c r="X155" s="8"/>
      <c r="Y155" s="8"/>
      <c r="Z155" s="8"/>
      <c r="AA155" s="8"/>
      <c r="AB155" s="8"/>
      <c r="AC155" s="8"/>
    </row>
    <row r="156" spans="1:29" s="1" customFormat="1" ht="15.75" customHeight="1">
      <c r="A156" s="8" t="s">
        <v>18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 spans="1:29" s="1" customFormat="1" ht="13.5" customHeight="1">
      <c r="A157" s="9" t="s">
        <v>207</v>
      </c>
      <c r="B157" s="9"/>
      <c r="C157" s="9"/>
      <c r="D157" s="9"/>
      <c r="E157" s="9"/>
      <c r="F157" s="9"/>
      <c r="G157" s="9"/>
      <c r="H157" s="9"/>
      <c r="I157" s="9"/>
      <c r="J157" s="9"/>
      <c r="K157" s="8" t="s">
        <v>18</v>
      </c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</sheetData>
  <sheetProtection/>
  <mergeCells count="947">
    <mergeCell ref="A1:AB1"/>
    <mergeCell ref="A2:AB2"/>
    <mergeCell ref="A3:Y3"/>
    <mergeCell ref="Z3:AB3"/>
    <mergeCell ref="A4:E5"/>
    <mergeCell ref="F4:X5"/>
    <mergeCell ref="Y4:AB4"/>
    <mergeCell ref="Y5:AB5"/>
    <mergeCell ref="A6:F6"/>
    <mergeCell ref="G6:X6"/>
    <mergeCell ref="Y6:AB6"/>
    <mergeCell ref="B7:AB7"/>
    <mergeCell ref="A8:D8"/>
    <mergeCell ref="E8:W8"/>
    <mergeCell ref="X8:AB8"/>
    <mergeCell ref="A9:AC9"/>
    <mergeCell ref="A10:L10"/>
    <mergeCell ref="M10:O10"/>
    <mergeCell ref="P10:R10"/>
    <mergeCell ref="S10:U10"/>
    <mergeCell ref="V10:Z10"/>
    <mergeCell ref="AA10:AC10"/>
    <mergeCell ref="A11:L11"/>
    <mergeCell ref="M11:O11"/>
    <mergeCell ref="P11:R11"/>
    <mergeCell ref="S11:U11"/>
    <mergeCell ref="V11:Z11"/>
    <mergeCell ref="AA11:AC11"/>
    <mergeCell ref="A12:L12"/>
    <mergeCell ref="M12:O12"/>
    <mergeCell ref="P12:R12"/>
    <mergeCell ref="S12:U12"/>
    <mergeCell ref="V12:Z12"/>
    <mergeCell ref="AA12:AC12"/>
    <mergeCell ref="A13:L13"/>
    <mergeCell ref="M13:O13"/>
    <mergeCell ref="P13:R13"/>
    <mergeCell ref="S13:U13"/>
    <mergeCell ref="V13:Z13"/>
    <mergeCell ref="AA13:AC13"/>
    <mergeCell ref="A14:L14"/>
    <mergeCell ref="M14:O14"/>
    <mergeCell ref="P14:R14"/>
    <mergeCell ref="S14:U14"/>
    <mergeCell ref="V14:Z14"/>
    <mergeCell ref="AA14:AC14"/>
    <mergeCell ref="A15:L15"/>
    <mergeCell ref="M15:O15"/>
    <mergeCell ref="P15:R15"/>
    <mergeCell ref="S15:U15"/>
    <mergeCell ref="V15:Z15"/>
    <mergeCell ref="AA15:AC15"/>
    <mergeCell ref="A16:L16"/>
    <mergeCell ref="M16:O16"/>
    <mergeCell ref="P16:R16"/>
    <mergeCell ref="S16:U16"/>
    <mergeCell ref="V16:Z16"/>
    <mergeCell ref="AA16:AC16"/>
    <mergeCell ref="A17:L17"/>
    <mergeCell ref="M17:O17"/>
    <mergeCell ref="P17:R17"/>
    <mergeCell ref="S17:U17"/>
    <mergeCell ref="V17:Z17"/>
    <mergeCell ref="AA17:AC17"/>
    <mergeCell ref="A18:L18"/>
    <mergeCell ref="M18:O18"/>
    <mergeCell ref="P18:R18"/>
    <mergeCell ref="S18:U18"/>
    <mergeCell ref="V18:Z18"/>
    <mergeCell ref="AA18:AC18"/>
    <mergeCell ref="A19:L19"/>
    <mergeCell ref="M19:O19"/>
    <mergeCell ref="P19:R19"/>
    <mergeCell ref="S19:U19"/>
    <mergeCell ref="V19:Z19"/>
    <mergeCell ref="AA19:AC19"/>
    <mergeCell ref="A20:L20"/>
    <mergeCell ref="M20:O20"/>
    <mergeCell ref="P20:R20"/>
    <mergeCell ref="S20:U20"/>
    <mergeCell ref="V20:Z20"/>
    <mergeCell ref="AA20:AC20"/>
    <mergeCell ref="A21:L21"/>
    <mergeCell ref="M21:O21"/>
    <mergeCell ref="P21:R21"/>
    <mergeCell ref="S21:U21"/>
    <mergeCell ref="V21:Z21"/>
    <mergeCell ref="AA21:AC21"/>
    <mergeCell ref="A22:L22"/>
    <mergeCell ref="M22:O22"/>
    <mergeCell ref="P22:R22"/>
    <mergeCell ref="S22:U22"/>
    <mergeCell ref="V22:Z22"/>
    <mergeCell ref="AA22:AC22"/>
    <mergeCell ref="A23:L23"/>
    <mergeCell ref="M23:O23"/>
    <mergeCell ref="P23:R23"/>
    <mergeCell ref="S23:U23"/>
    <mergeCell ref="V23:Z23"/>
    <mergeCell ref="AA23:AC23"/>
    <mergeCell ref="A24:L24"/>
    <mergeCell ref="M24:O24"/>
    <mergeCell ref="P24:R24"/>
    <mergeCell ref="S24:U24"/>
    <mergeCell ref="V24:Z24"/>
    <mergeCell ref="AA24:AC24"/>
    <mergeCell ref="A25:L25"/>
    <mergeCell ref="M25:O25"/>
    <mergeCell ref="P25:R25"/>
    <mergeCell ref="S25:U25"/>
    <mergeCell ref="V25:Z25"/>
    <mergeCell ref="AA25:AC25"/>
    <mergeCell ref="A26:L26"/>
    <mergeCell ref="M26:O26"/>
    <mergeCell ref="P26:R26"/>
    <mergeCell ref="S26:U26"/>
    <mergeCell ref="V26:Z26"/>
    <mergeCell ref="AA26:AC26"/>
    <mergeCell ref="A27:L27"/>
    <mergeCell ref="M27:O27"/>
    <mergeCell ref="P27:R27"/>
    <mergeCell ref="S27:U27"/>
    <mergeCell ref="V27:Z27"/>
    <mergeCell ref="AA27:AC27"/>
    <mergeCell ref="A28:L28"/>
    <mergeCell ref="M28:O28"/>
    <mergeCell ref="P28:R28"/>
    <mergeCell ref="S28:U28"/>
    <mergeCell ref="V28:Z28"/>
    <mergeCell ref="AA28:AC28"/>
    <mergeCell ref="A29:L29"/>
    <mergeCell ref="M29:O29"/>
    <mergeCell ref="P29:R29"/>
    <mergeCell ref="S29:U29"/>
    <mergeCell ref="V29:Z29"/>
    <mergeCell ref="AA29:AC29"/>
    <mergeCell ref="A30:L30"/>
    <mergeCell ref="M30:O30"/>
    <mergeCell ref="P30:R30"/>
    <mergeCell ref="S30:U30"/>
    <mergeCell ref="V30:Z30"/>
    <mergeCell ref="AA30:AC30"/>
    <mergeCell ref="A31:L31"/>
    <mergeCell ref="M31:O31"/>
    <mergeCell ref="P31:R31"/>
    <mergeCell ref="S31:U31"/>
    <mergeCell ref="V31:Z31"/>
    <mergeCell ref="AA31:AC31"/>
    <mergeCell ref="T35:V35"/>
    <mergeCell ref="W35:AA35"/>
    <mergeCell ref="AB35:AC35"/>
    <mergeCell ref="A32:L32"/>
    <mergeCell ref="M32:O32"/>
    <mergeCell ref="P32:R32"/>
    <mergeCell ref="S32:U32"/>
    <mergeCell ref="V32:Z32"/>
    <mergeCell ref="AA32:AC32"/>
    <mergeCell ref="O36:Q36"/>
    <mergeCell ref="R36:S36"/>
    <mergeCell ref="T36:V36"/>
    <mergeCell ref="W36:AA36"/>
    <mergeCell ref="A33:AC33"/>
    <mergeCell ref="A34:AC34"/>
    <mergeCell ref="A35:K35"/>
    <mergeCell ref="L35:N35"/>
    <mergeCell ref="O35:Q35"/>
    <mergeCell ref="R35:S35"/>
    <mergeCell ref="AB36:AC36"/>
    <mergeCell ref="A37:K37"/>
    <mergeCell ref="L37:N37"/>
    <mergeCell ref="O37:Q37"/>
    <mergeCell ref="R37:S37"/>
    <mergeCell ref="T37:V37"/>
    <mergeCell ref="W37:AA37"/>
    <mergeCell ref="AB37:AC37"/>
    <mergeCell ref="A36:K36"/>
    <mergeCell ref="L36:N36"/>
    <mergeCell ref="W39:AA39"/>
    <mergeCell ref="AB39:AC39"/>
    <mergeCell ref="A38:K38"/>
    <mergeCell ref="L38:N38"/>
    <mergeCell ref="O38:Q38"/>
    <mergeCell ref="R38:S38"/>
    <mergeCell ref="T38:V38"/>
    <mergeCell ref="W38:AA38"/>
    <mergeCell ref="O40:Q40"/>
    <mergeCell ref="R40:S40"/>
    <mergeCell ref="T40:V40"/>
    <mergeCell ref="W40:AA40"/>
    <mergeCell ref="AB38:AC38"/>
    <mergeCell ref="A39:K39"/>
    <mergeCell ref="L39:N39"/>
    <mergeCell ref="O39:Q39"/>
    <mergeCell ref="R39:S39"/>
    <mergeCell ref="T39:V39"/>
    <mergeCell ref="AB40:AC40"/>
    <mergeCell ref="A41:K41"/>
    <mergeCell ref="L41:N41"/>
    <mergeCell ref="O41:Q41"/>
    <mergeCell ref="R41:S41"/>
    <mergeCell ref="T41:V41"/>
    <mergeCell ref="W41:AA41"/>
    <mergeCell ref="AB41:AC41"/>
    <mergeCell ref="A40:K40"/>
    <mergeCell ref="L40:N40"/>
    <mergeCell ref="W43:AA43"/>
    <mergeCell ref="AB43:AC43"/>
    <mergeCell ref="A42:K42"/>
    <mergeCell ref="L42:N42"/>
    <mergeCell ref="O42:Q42"/>
    <mergeCell ref="R42:S42"/>
    <mergeCell ref="T42:V42"/>
    <mergeCell ref="W42:AA42"/>
    <mergeCell ref="O44:Q44"/>
    <mergeCell ref="R44:S44"/>
    <mergeCell ref="T44:V44"/>
    <mergeCell ref="W44:AA44"/>
    <mergeCell ref="AB42:AC42"/>
    <mergeCell ref="A43:K43"/>
    <mergeCell ref="L43:N43"/>
    <mergeCell ref="O43:Q43"/>
    <mergeCell ref="R43:S43"/>
    <mergeCell ref="T43:V43"/>
    <mergeCell ref="AB44:AC44"/>
    <mergeCell ref="A45:K45"/>
    <mergeCell ref="L45:N45"/>
    <mergeCell ref="O45:Q45"/>
    <mergeCell ref="R45:S45"/>
    <mergeCell ref="T45:V45"/>
    <mergeCell ref="W45:AA45"/>
    <mergeCell ref="AB45:AC45"/>
    <mergeCell ref="A44:K44"/>
    <mergeCell ref="L44:N44"/>
    <mergeCell ref="W47:AA47"/>
    <mergeCell ref="AB47:AC47"/>
    <mergeCell ref="A46:K46"/>
    <mergeCell ref="L46:N46"/>
    <mergeCell ref="O46:Q46"/>
    <mergeCell ref="R46:S46"/>
    <mergeCell ref="T46:V46"/>
    <mergeCell ref="W46:AA46"/>
    <mergeCell ref="O48:Q48"/>
    <mergeCell ref="R48:S48"/>
    <mergeCell ref="T48:V48"/>
    <mergeCell ref="W48:AA48"/>
    <mergeCell ref="AB46:AC46"/>
    <mergeCell ref="A47:K47"/>
    <mergeCell ref="L47:N47"/>
    <mergeCell ref="O47:Q47"/>
    <mergeCell ref="R47:S47"/>
    <mergeCell ref="T47:V47"/>
    <mergeCell ref="AB48:AC48"/>
    <mergeCell ref="A49:K49"/>
    <mergeCell ref="L49:N49"/>
    <mergeCell ref="O49:Q49"/>
    <mergeCell ref="R49:S49"/>
    <mergeCell ref="T49:V49"/>
    <mergeCell ref="W49:AA49"/>
    <mergeCell ref="AB49:AC49"/>
    <mergeCell ref="A48:K48"/>
    <mergeCell ref="L48:N48"/>
    <mergeCell ref="W51:AA51"/>
    <mergeCell ref="AB51:AC51"/>
    <mergeCell ref="A50:K50"/>
    <mergeCell ref="L50:N50"/>
    <mergeCell ref="O50:Q50"/>
    <mergeCell ref="R50:S50"/>
    <mergeCell ref="T50:V50"/>
    <mergeCell ref="W50:AA50"/>
    <mergeCell ref="O52:Q52"/>
    <mergeCell ref="R52:S52"/>
    <mergeCell ref="T52:V52"/>
    <mergeCell ref="W52:AA52"/>
    <mergeCell ref="AB50:AC50"/>
    <mergeCell ref="A51:K51"/>
    <mergeCell ref="L51:N51"/>
    <mergeCell ref="O51:Q51"/>
    <mergeCell ref="R51:S51"/>
    <mergeCell ref="T51:V51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W55:AA55"/>
    <mergeCell ref="AB55:AC55"/>
    <mergeCell ref="A54:K54"/>
    <mergeCell ref="L54:N54"/>
    <mergeCell ref="O54:Q54"/>
    <mergeCell ref="R54:S54"/>
    <mergeCell ref="T54:V54"/>
    <mergeCell ref="W54:AA54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W59:AA59"/>
    <mergeCell ref="AB59:AC59"/>
    <mergeCell ref="A58:K58"/>
    <mergeCell ref="L58:N58"/>
    <mergeCell ref="O58:Q58"/>
    <mergeCell ref="R58:S58"/>
    <mergeCell ref="T58:V58"/>
    <mergeCell ref="W58:AA58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W63:AA63"/>
    <mergeCell ref="AB63:AC63"/>
    <mergeCell ref="A62:K62"/>
    <mergeCell ref="L62:N62"/>
    <mergeCell ref="O62:Q62"/>
    <mergeCell ref="R62:S62"/>
    <mergeCell ref="T62:V62"/>
    <mergeCell ref="W62:AA62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W67:AA67"/>
    <mergeCell ref="AB67:AC67"/>
    <mergeCell ref="A66:K66"/>
    <mergeCell ref="L66:N66"/>
    <mergeCell ref="O66:Q66"/>
    <mergeCell ref="R66:S66"/>
    <mergeCell ref="T66:V66"/>
    <mergeCell ref="W66:AA66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W71:AA71"/>
    <mergeCell ref="AB71:AC71"/>
    <mergeCell ref="A70:K70"/>
    <mergeCell ref="L70:N70"/>
    <mergeCell ref="O70:Q70"/>
    <mergeCell ref="R70:S70"/>
    <mergeCell ref="T70:V70"/>
    <mergeCell ref="W70:AA70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W75:AA75"/>
    <mergeCell ref="AB75:AC75"/>
    <mergeCell ref="A74:K74"/>
    <mergeCell ref="L74:N74"/>
    <mergeCell ref="O74:Q74"/>
    <mergeCell ref="R74:S74"/>
    <mergeCell ref="T74:V74"/>
    <mergeCell ref="W74:AA74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W79:AA79"/>
    <mergeCell ref="AB79:AC79"/>
    <mergeCell ref="A78:K78"/>
    <mergeCell ref="L78:N78"/>
    <mergeCell ref="O78:Q78"/>
    <mergeCell ref="R78:S78"/>
    <mergeCell ref="T78:V78"/>
    <mergeCell ref="W78:AA78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W83:AA83"/>
    <mergeCell ref="AB83:AC83"/>
    <mergeCell ref="A82:K82"/>
    <mergeCell ref="L82:N82"/>
    <mergeCell ref="O82:Q82"/>
    <mergeCell ref="R82:S82"/>
    <mergeCell ref="T82:V82"/>
    <mergeCell ref="W82:AA82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W87:AA87"/>
    <mergeCell ref="AB87:AC87"/>
    <mergeCell ref="A86:K86"/>
    <mergeCell ref="L86:N86"/>
    <mergeCell ref="O86:Q86"/>
    <mergeCell ref="R86:S86"/>
    <mergeCell ref="T86:V86"/>
    <mergeCell ref="W86:AA86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W91:AA91"/>
    <mergeCell ref="AB91:AC91"/>
    <mergeCell ref="A90:K90"/>
    <mergeCell ref="L90:N90"/>
    <mergeCell ref="O90:Q90"/>
    <mergeCell ref="R90:S90"/>
    <mergeCell ref="T90:V90"/>
    <mergeCell ref="W90:AA90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W95:AA95"/>
    <mergeCell ref="AB95:AC95"/>
    <mergeCell ref="A94:K94"/>
    <mergeCell ref="L94:N94"/>
    <mergeCell ref="O94:Q94"/>
    <mergeCell ref="R94:S94"/>
    <mergeCell ref="T94:V94"/>
    <mergeCell ref="W94:AA94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W99:AA99"/>
    <mergeCell ref="AB99:AC99"/>
    <mergeCell ref="A98:K98"/>
    <mergeCell ref="L98:N98"/>
    <mergeCell ref="O98:Q98"/>
    <mergeCell ref="R98:S98"/>
    <mergeCell ref="T98:V98"/>
    <mergeCell ref="W98:AA98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W111:AA111"/>
    <mergeCell ref="AB111:AC111"/>
    <mergeCell ref="A110:K110"/>
    <mergeCell ref="L110:N110"/>
    <mergeCell ref="O110:Q110"/>
    <mergeCell ref="R110:S110"/>
    <mergeCell ref="T110:V110"/>
    <mergeCell ref="W110:AA110"/>
    <mergeCell ref="O112:Q112"/>
    <mergeCell ref="R112:S112"/>
    <mergeCell ref="T112:V112"/>
    <mergeCell ref="W112:AA112"/>
    <mergeCell ref="AB110:AC110"/>
    <mergeCell ref="A111:K111"/>
    <mergeCell ref="L111:N111"/>
    <mergeCell ref="O111:Q111"/>
    <mergeCell ref="R111:S111"/>
    <mergeCell ref="T111:V111"/>
    <mergeCell ref="AB112:AC112"/>
    <mergeCell ref="A113:K113"/>
    <mergeCell ref="L113:N113"/>
    <mergeCell ref="O113:Q113"/>
    <mergeCell ref="R113:S113"/>
    <mergeCell ref="T113:V113"/>
    <mergeCell ref="W113:AA113"/>
    <mergeCell ref="AB113:AC113"/>
    <mergeCell ref="A112:K112"/>
    <mergeCell ref="L112:N112"/>
    <mergeCell ref="W115:AA115"/>
    <mergeCell ref="AB115:AC115"/>
    <mergeCell ref="A114:K114"/>
    <mergeCell ref="L114:N114"/>
    <mergeCell ref="O114:Q114"/>
    <mergeCell ref="R114:S114"/>
    <mergeCell ref="T114:V114"/>
    <mergeCell ref="W114:AA114"/>
    <mergeCell ref="O116:Q116"/>
    <mergeCell ref="R116:S116"/>
    <mergeCell ref="T116:V116"/>
    <mergeCell ref="W116:AA116"/>
    <mergeCell ref="AB114:AC114"/>
    <mergeCell ref="A115:K115"/>
    <mergeCell ref="L115:N115"/>
    <mergeCell ref="O115:Q115"/>
    <mergeCell ref="R115:S115"/>
    <mergeCell ref="T115:V115"/>
    <mergeCell ref="AB116:AC116"/>
    <mergeCell ref="A117:K117"/>
    <mergeCell ref="L117:N117"/>
    <mergeCell ref="O117:Q117"/>
    <mergeCell ref="R117:S117"/>
    <mergeCell ref="T117:V117"/>
    <mergeCell ref="W117:AA117"/>
    <mergeCell ref="AB117:AC117"/>
    <mergeCell ref="A116:K116"/>
    <mergeCell ref="L116:N116"/>
    <mergeCell ref="W119:AA119"/>
    <mergeCell ref="AB119:AC119"/>
    <mergeCell ref="A118:K118"/>
    <mergeCell ref="L118:N118"/>
    <mergeCell ref="O118:Q118"/>
    <mergeCell ref="R118:S118"/>
    <mergeCell ref="T118:V118"/>
    <mergeCell ref="W118:AA118"/>
    <mergeCell ref="O120:Q120"/>
    <mergeCell ref="R120:S120"/>
    <mergeCell ref="T120:V120"/>
    <mergeCell ref="W120:AA120"/>
    <mergeCell ref="AB118:AC118"/>
    <mergeCell ref="A119:K119"/>
    <mergeCell ref="L119:N119"/>
    <mergeCell ref="O119:Q119"/>
    <mergeCell ref="R119:S119"/>
    <mergeCell ref="T119:V119"/>
    <mergeCell ref="AB120:AC120"/>
    <mergeCell ref="A121:K121"/>
    <mergeCell ref="L121:N121"/>
    <mergeCell ref="O121:Q121"/>
    <mergeCell ref="R121:S121"/>
    <mergeCell ref="T121:V121"/>
    <mergeCell ref="W121:AA121"/>
    <mergeCell ref="AB121:AC121"/>
    <mergeCell ref="A120:K120"/>
    <mergeCell ref="L120:N120"/>
    <mergeCell ref="W123:AA123"/>
    <mergeCell ref="AB123:AC123"/>
    <mergeCell ref="A122:K122"/>
    <mergeCell ref="L122:N122"/>
    <mergeCell ref="O122:Q122"/>
    <mergeCell ref="R122:S122"/>
    <mergeCell ref="T122:V122"/>
    <mergeCell ref="W122:AA122"/>
    <mergeCell ref="O124:Q124"/>
    <mergeCell ref="R124:S124"/>
    <mergeCell ref="T124:V124"/>
    <mergeCell ref="W124:AA124"/>
    <mergeCell ref="AB122:AC122"/>
    <mergeCell ref="A123:K123"/>
    <mergeCell ref="L123:N123"/>
    <mergeCell ref="O123:Q123"/>
    <mergeCell ref="R123:S123"/>
    <mergeCell ref="T123:V123"/>
    <mergeCell ref="AB124:AC124"/>
    <mergeCell ref="A125:K125"/>
    <mergeCell ref="L125:N125"/>
    <mergeCell ref="O125:Q125"/>
    <mergeCell ref="R125:S125"/>
    <mergeCell ref="T125:V125"/>
    <mergeCell ref="W125:AA125"/>
    <mergeCell ref="AB125:AC125"/>
    <mergeCell ref="A124:K124"/>
    <mergeCell ref="L124:N124"/>
    <mergeCell ref="W127:AA127"/>
    <mergeCell ref="AB127:AC127"/>
    <mergeCell ref="A126:K126"/>
    <mergeCell ref="L126:N126"/>
    <mergeCell ref="O126:Q126"/>
    <mergeCell ref="R126:S126"/>
    <mergeCell ref="T126:V126"/>
    <mergeCell ref="W126:AA126"/>
    <mergeCell ref="O128:Q128"/>
    <mergeCell ref="R128:S128"/>
    <mergeCell ref="T128:V128"/>
    <mergeCell ref="W128:AA128"/>
    <mergeCell ref="AB126:AC126"/>
    <mergeCell ref="A127:K127"/>
    <mergeCell ref="L127:N127"/>
    <mergeCell ref="O127:Q127"/>
    <mergeCell ref="R127:S127"/>
    <mergeCell ref="T127:V127"/>
    <mergeCell ref="AB128:AC128"/>
    <mergeCell ref="A129:K129"/>
    <mergeCell ref="L129:N129"/>
    <mergeCell ref="O129:Q129"/>
    <mergeCell ref="R129:S129"/>
    <mergeCell ref="T129:V129"/>
    <mergeCell ref="W129:AA129"/>
    <mergeCell ref="AB129:AC129"/>
    <mergeCell ref="A128:K128"/>
    <mergeCell ref="L128:N128"/>
    <mergeCell ref="W131:AA131"/>
    <mergeCell ref="AB131:AC131"/>
    <mergeCell ref="A130:K130"/>
    <mergeCell ref="L130:N130"/>
    <mergeCell ref="O130:Q130"/>
    <mergeCell ref="R130:S130"/>
    <mergeCell ref="T130:V130"/>
    <mergeCell ref="W130:AA130"/>
    <mergeCell ref="O132:Q132"/>
    <mergeCell ref="R132:S132"/>
    <mergeCell ref="T132:V132"/>
    <mergeCell ref="W132:AA132"/>
    <mergeCell ref="AB130:AC130"/>
    <mergeCell ref="A131:K131"/>
    <mergeCell ref="L131:N131"/>
    <mergeCell ref="O131:Q131"/>
    <mergeCell ref="R131:S131"/>
    <mergeCell ref="T131:V131"/>
    <mergeCell ref="AB132:AC132"/>
    <mergeCell ref="A133:K133"/>
    <mergeCell ref="L133:N133"/>
    <mergeCell ref="O133:Q133"/>
    <mergeCell ref="R133:S133"/>
    <mergeCell ref="T133:V133"/>
    <mergeCell ref="W133:AA133"/>
    <mergeCell ref="AB133:AC133"/>
    <mergeCell ref="A132:K132"/>
    <mergeCell ref="L132:N132"/>
    <mergeCell ref="A134:AC134"/>
    <mergeCell ref="A135:AC135"/>
    <mergeCell ref="A136:L136"/>
    <mergeCell ref="M136:O136"/>
    <mergeCell ref="P136:R136"/>
    <mergeCell ref="S136:U136"/>
    <mergeCell ref="V136:Z136"/>
    <mergeCell ref="AA136:AC136"/>
    <mergeCell ref="A137:L137"/>
    <mergeCell ref="M137:O137"/>
    <mergeCell ref="P137:R137"/>
    <mergeCell ref="S137:U137"/>
    <mergeCell ref="V137:Z137"/>
    <mergeCell ref="AA137:AC137"/>
    <mergeCell ref="A138:L138"/>
    <mergeCell ref="M138:O138"/>
    <mergeCell ref="P138:R138"/>
    <mergeCell ref="S138:U138"/>
    <mergeCell ref="V138:Z138"/>
    <mergeCell ref="AA138:AC138"/>
    <mergeCell ref="A139:L139"/>
    <mergeCell ref="M139:O139"/>
    <mergeCell ref="P139:R139"/>
    <mergeCell ref="S139:U139"/>
    <mergeCell ref="V139:Z139"/>
    <mergeCell ref="AA139:AC139"/>
    <mergeCell ref="A140:L140"/>
    <mergeCell ref="M140:O140"/>
    <mergeCell ref="P140:R140"/>
    <mergeCell ref="S140:U140"/>
    <mergeCell ref="V140:Z140"/>
    <mergeCell ref="AA140:AC140"/>
    <mergeCell ref="A141:AC141"/>
    <mergeCell ref="A142:L142"/>
    <mergeCell ref="M142:O142"/>
    <mergeCell ref="P142:R142"/>
    <mergeCell ref="S142:U142"/>
    <mergeCell ref="V142:Z142"/>
    <mergeCell ref="AA142:AC142"/>
    <mergeCell ref="A143:L143"/>
    <mergeCell ref="M143:O143"/>
    <mergeCell ref="P143:R143"/>
    <mergeCell ref="S143:U143"/>
    <mergeCell ref="V143:Z143"/>
    <mergeCell ref="AA143:AC143"/>
    <mergeCell ref="A144:L144"/>
    <mergeCell ref="M144:O144"/>
    <mergeCell ref="P144:R144"/>
    <mergeCell ref="S144:U144"/>
    <mergeCell ref="V144:Z144"/>
    <mergeCell ref="AA144:AC144"/>
    <mergeCell ref="A145:L145"/>
    <mergeCell ref="M145:O145"/>
    <mergeCell ref="P145:R145"/>
    <mergeCell ref="S145:U145"/>
    <mergeCell ref="V145:Z145"/>
    <mergeCell ref="AA145:AC145"/>
    <mergeCell ref="A146:L146"/>
    <mergeCell ref="M146:O146"/>
    <mergeCell ref="P146:R146"/>
    <mergeCell ref="S146:U146"/>
    <mergeCell ref="V146:Z146"/>
    <mergeCell ref="AA146:AC146"/>
    <mergeCell ref="A147:AC147"/>
    <mergeCell ref="A148:H148"/>
    <mergeCell ref="I148:O148"/>
    <mergeCell ref="P148:T148"/>
    <mergeCell ref="U148:AC148"/>
    <mergeCell ref="A149:H149"/>
    <mergeCell ref="J149:M149"/>
    <mergeCell ref="N149:O149"/>
    <mergeCell ref="Q149:S149"/>
    <mergeCell ref="T149:AC149"/>
    <mergeCell ref="A150:AC150"/>
    <mergeCell ref="A151:H151"/>
    <mergeCell ref="I151:O151"/>
    <mergeCell ref="P151:T151"/>
    <mergeCell ref="U151:AC151"/>
    <mergeCell ref="A152:H152"/>
    <mergeCell ref="J152:M152"/>
    <mergeCell ref="N152:O152"/>
    <mergeCell ref="Q152:S152"/>
    <mergeCell ref="T152:AC152"/>
    <mergeCell ref="A153:AC153"/>
    <mergeCell ref="A154:B154"/>
    <mergeCell ref="C154:H154"/>
    <mergeCell ref="I154:O154"/>
    <mergeCell ref="P154:T154"/>
    <mergeCell ref="U154:AC154"/>
    <mergeCell ref="A156:AC156"/>
    <mergeCell ref="A157:J157"/>
    <mergeCell ref="K157:AC157"/>
    <mergeCell ref="A155:B155"/>
    <mergeCell ref="D155:G155"/>
    <mergeCell ref="J155:M155"/>
    <mergeCell ref="N155:O155"/>
    <mergeCell ref="Q155:S155"/>
    <mergeCell ref="T155:AC155"/>
  </mergeCells>
  <printOptions/>
  <pageMargins left="0.16" right="0" top="0.28" bottom="0" header="0.26" footer="0.15"/>
  <pageSetup horizontalDpi="600" verticalDpi="600" orientation="landscape" paperSize="9" r:id="rId1"/>
  <headerFooter alignWithMargins="0">
    <oddHeader>&amp;C&amp;Я</oddHeader>
    <oddFooter>&amp;C&amp;Ь&amp;Ф</oddFooter>
  </headerFooter>
  <rowBreaks count="2" manualBreakCount="2">
    <brk id="33" max="255" man="1"/>
    <brk id="13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1sm</cp:lastModifiedBy>
  <cp:lastPrinted>2017-10-02T12:01:29Z</cp:lastPrinted>
  <dcterms:modified xsi:type="dcterms:W3CDTF">2017-10-02T14:07:06Z</dcterms:modified>
  <cp:category/>
  <cp:version/>
  <cp:contentType/>
  <cp:contentStatus/>
</cp:coreProperties>
</file>