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<sst xmlns="http://schemas.openxmlformats.org/spreadsheetml/2006/main" count="576" uniqueCount="193">
  <si>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</si>
  <si>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</si>
  <si>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</si>
  <si>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</si>
  <si>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</si>
  <si>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</si>
  <si>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</si>
  <si>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</si>
  <si>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</si>
  <si>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</si>
  <si>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</si>
  <si>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</si>
  <si>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</si>
  <si>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</si>
  <si>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</si>
  <si>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</si>
  <si>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</si>
  <si>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</si>
  <si>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</si>
  <si>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</si>
  <si>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</si>
  <si>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</si>
  <si>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</si>
  <si>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</si>
  <si>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</si>
  <si>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</si>
  <si>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</si>
  <si>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</si>
  <si>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</si>
  <si>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</si>
  <si>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</si>
  <si>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</si>
  <si>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</si>
  <si>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</si>
  <si>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</si>
  <si>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</si>
  <si>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</si>
  <si>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</si>
  <si>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</si>
  <si>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</si>
  <si>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</si>
  <si>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</si>
  <si>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</si>
  <si>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</si>
  <si>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</si>
  <si>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</si>
  <si>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</si>
  <si>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</si>
  <si>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</si>
  <si>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</si>
  <si>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</si>
  <si>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</si>
  <si>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</si>
  <si>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</si>
  <si>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</si>
  <si>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</si>
  <si>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</si>
  <si>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</si>
  <si>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</si>
  <si>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</si>
  <si>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</si>
  <si>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</si>
  <si>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</si>
  <si>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</si>
  <si>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</si>
  <si>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</si>
  <si>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</si>
  <si>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</si>
  <si>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</si>
  <si>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</si>
  <si>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</si>
  <si>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</si>
  <si>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</si>
  <si>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</si>
  <si>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</si>
  <si>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</si>
  <si>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Доходы бюджетов сельских поселений от возврата бюджетными учреждениями остатков субсидий прошлых лет</t>
  </si>
  <si>
    <t>650 21805010 10 0000 180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</si>
  <si>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</si>
  <si>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</si>
  <si>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</si>
  <si>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</si>
  <si>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</si>
  <si>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</si>
  <si>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</si>
  <si>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</si>
  <si>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</si>
  <si>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</si>
  <si>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</si>
  <si>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</si>
  <si>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</si>
  <si>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</si>
  <si>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</si>
  <si>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</si>
  <si>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</si>
  <si>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</si>
  <si>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</si>
  <si>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</si>
  <si>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</si>
  <si>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</si>
  <si>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</si>
  <si>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</si>
  <si>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</si>
  <si>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</si>
  <si>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</si>
  <si>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</si>
  <si>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</si>
  <si>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</si>
  <si>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650 0104 4090002040 852</t>
  </si>
  <si>
    <t>650 0104 4090002040 853</t>
  </si>
  <si>
    <t>650 0111 4090000690 870</t>
  </si>
  <si>
    <t>650 0113 4090000690 244</t>
  </si>
  <si>
    <t>Увеличение стоимости основных средств</t>
  </si>
  <si>
    <t>310</t>
  </si>
  <si>
    <t>650 0113 4090000690 851</t>
  </si>
  <si>
    <t>650 0113 4090000690 852</t>
  </si>
  <si>
    <t>650 0113 4090000690 853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</si>
  <si>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</si>
  <si>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</si>
  <si>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</si>
  <si>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</si>
  <si>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</si>
  <si>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650 0113 4090002400 122</t>
  </si>
  <si>
    <t>Транспортные услуги</t>
  </si>
  <si>
    <t>650 0203 4090000690 244</t>
  </si>
  <si>
    <t>222</t>
  </si>
  <si>
    <t>650 0203 4090051180 121</t>
  </si>
  <si>
    <t>650 0203 4090051180 129</t>
  </si>
  <si>
    <t>650 0304 4090059300 121</t>
  </si>
  <si>
    <t>650 0304 4090059300 129</t>
  </si>
  <si>
    <t>650 0309 4090000690 244</t>
  </si>
  <si>
    <t>650 0314 4090000690 244</t>
  </si>
  <si>
    <t>650 0314 4090082300 123</t>
  </si>
  <si>
    <t>650 0314 4090089131 244</t>
  </si>
  <si>
    <t>650 0314 40900S2300 123</t>
  </si>
  <si>
    <t>650 0409 4090020641 244</t>
  </si>
  <si>
    <t>650 0410 4090000790 244</t>
  </si>
  <si>
    <t>650 0503 4090020811 244</t>
  </si>
  <si>
    <t>650 0503 4090020829 244</t>
  </si>
  <si>
    <t>650 0503 4090082420 244</t>
  </si>
  <si>
    <t>650 0503 4090089010 244</t>
  </si>
  <si>
    <t>650 0503 4090089350 244</t>
  </si>
  <si>
    <t>650 0503 40900S2420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</si>
  <si>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</si>
  <si>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</si>
  <si>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</si>
  <si>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</si>
  <si>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650 0801 4090061600 612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</si>
  <si>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</si>
  <si>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</si>
  <si>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</si>
  <si>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</si>
  <si>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</si>
  <si>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</si>
  <si>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</si>
  <si>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</si>
  <si>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</si>
  <si>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</si>
  <si>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</si>
  <si>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</si>
  <si>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</si>
  <si>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</si>
  <si>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</si>
  <si>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</si>
  <si>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</si>
  <si>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</si>
  <si>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</si>
  <si>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</si>
  <si>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</si>
  <si>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</si>
  <si>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</si>
  <si>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</si>
  <si>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</si>
  <si>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</si>
  <si>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</si>
  <si>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</si>
  <si>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</si>
  <si>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</si>
  <si>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</si>
  <si>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</si>
  <si>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</si>
  <si>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</si>
  <si>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</si>
  <si>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Ведущий бухгалтер</t>
  </si>
  <si>
    <t>Смирнова И. Н.</t>
  </si>
  <si>
    <t>Исполнитель:</t>
  </si>
  <si>
    <t>Главный специалист</t>
  </si>
  <si>
    <t>Григорьева Т. А.</t>
  </si>
  <si>
    <t>(должность)</t>
  </si>
  <si>
    <t xml:space="preserve">   3 апреля 2017 г.   </t>
  </si>
  <si>
    <t>650 01050000 00 0000 000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</si>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</sst>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="90" zoomScaleNormal="90" zoomScalePageLayoutView="0" workbookViewId="0" topLeftCell="A110">
      <selection activeCell="A125" sqref="A125:AC12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6.8515625" style="1" customWidth="1"/>
    <col min="12" max="12" width="2.2812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8.28125" style="1" customWidth="1"/>
    <col min="18" max="18" width="1.28515625" style="1" customWidth="1"/>
    <col min="19" max="19" width="4.8515625" style="1" customWidth="1"/>
    <col min="20" max="20" width="2.7109375" style="1" customWidth="1"/>
    <col min="21" max="21" width="11.2812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7109375" style="1" customWidth="1"/>
    <col min="27" max="27" width="1.7109375" style="1" customWidth="1"/>
    <col min="28" max="28" width="3.7109375" style="1" customWidth="1"/>
    <col min="29" max="29" width="11.140625" style="1" customWidth="1"/>
  </cols>
  <sheetData>
    <row r="1" spans="1:29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" t="s">
        <v>1</v>
      </c>
    </row>
    <row r="2" spans="1:29" s="1" customFormat="1" ht="13.5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3" t="s">
        <v>3</v>
      </c>
    </row>
    <row r="3" spans="1:29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 t="s">
        <v>5</v>
      </c>
      <c r="AA3" s="58"/>
      <c r="AB3" s="58"/>
      <c r="AC3" s="4">
        <v>42826</v>
      </c>
    </row>
    <row r="4" spans="1:29" s="1" customFormat="1" ht="13.5" customHeight="1">
      <c r="A4" s="8" t="s">
        <v>6</v>
      </c>
      <c r="B4" s="8"/>
      <c r="C4" s="8"/>
      <c r="D4" s="8"/>
      <c r="E4" s="8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 t="s">
        <v>8</v>
      </c>
      <c r="Z4" s="58"/>
      <c r="AA4" s="58"/>
      <c r="AB4" s="58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8" t="s">
        <v>9</v>
      </c>
      <c r="Z5" s="58"/>
      <c r="AA5" s="58"/>
      <c r="AB5" s="58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8" t="s">
        <v>14</v>
      </c>
      <c r="Z6" s="58"/>
      <c r="AA6" s="58"/>
      <c r="AB6" s="58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18</v>
      </c>
    </row>
    <row r="8" spans="1:29" s="1" customFormat="1" ht="13.5" customHeight="1">
      <c r="A8" s="8" t="s">
        <v>19</v>
      </c>
      <c r="B8" s="8"/>
      <c r="C8" s="8"/>
      <c r="D8" s="8"/>
      <c r="E8" s="8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8" t="s">
        <v>21</v>
      </c>
      <c r="Y8" s="58"/>
      <c r="Z8" s="58"/>
      <c r="AA8" s="58"/>
      <c r="AB8" s="58"/>
      <c r="AC8" s="7" t="s">
        <v>22</v>
      </c>
    </row>
    <row r="9" spans="1:29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25</v>
      </c>
      <c r="N10" s="44"/>
      <c r="O10" s="44"/>
      <c r="P10" s="44" t="s">
        <v>26</v>
      </c>
      <c r="Q10" s="44"/>
      <c r="R10" s="44"/>
      <c r="S10" s="45" t="s">
        <v>27</v>
      </c>
      <c r="T10" s="45"/>
      <c r="U10" s="45"/>
      <c r="V10" s="45" t="s">
        <v>28</v>
      </c>
      <c r="W10" s="45"/>
      <c r="X10" s="45"/>
      <c r="Y10" s="45"/>
      <c r="Z10" s="45"/>
      <c r="AA10" s="46" t="s">
        <v>29</v>
      </c>
      <c r="AB10" s="46"/>
      <c r="AC10" s="46"/>
    </row>
    <row r="11" spans="1:29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 t="s">
        <v>31</v>
      </c>
      <c r="N11" s="39"/>
      <c r="O11" s="39"/>
      <c r="P11" s="39" t="s">
        <v>32</v>
      </c>
      <c r="Q11" s="39"/>
      <c r="R11" s="39"/>
      <c r="S11" s="40" t="s">
        <v>33</v>
      </c>
      <c r="T11" s="40"/>
      <c r="U11" s="40"/>
      <c r="V11" s="40" t="s">
        <v>34</v>
      </c>
      <c r="W11" s="40"/>
      <c r="X11" s="40"/>
      <c r="Y11" s="40"/>
      <c r="Z11" s="40"/>
      <c r="AA11" s="41" t="s">
        <v>35</v>
      </c>
      <c r="AB11" s="41"/>
      <c r="AC11" s="41"/>
    </row>
    <row r="12" spans="1:29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37</v>
      </c>
      <c r="N12" s="35"/>
      <c r="O12" s="35"/>
      <c r="P12" s="35" t="s">
        <v>38</v>
      </c>
      <c r="Q12" s="35"/>
      <c r="R12" s="35"/>
      <c r="S12" s="37">
        <f>73184971.73</f>
        <v>73184971.73</v>
      </c>
      <c r="T12" s="37"/>
      <c r="U12" s="37"/>
      <c r="V12" s="37">
        <f>23565644.09</f>
        <v>23565644.09</v>
      </c>
      <c r="W12" s="37"/>
      <c r="X12" s="37"/>
      <c r="Y12" s="37"/>
      <c r="Z12" s="37"/>
      <c r="AA12" s="53">
        <f>49619327.64</f>
        <v>49619327.64</v>
      </c>
      <c r="AB12" s="53"/>
      <c r="AC12" s="53"/>
    </row>
    <row r="13" spans="1:29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37</v>
      </c>
      <c r="N13" s="28"/>
      <c r="O13" s="28"/>
      <c r="P13" s="28" t="s">
        <v>40</v>
      </c>
      <c r="Q13" s="28"/>
      <c r="R13" s="28"/>
      <c r="S13" s="55">
        <f>106590</f>
        <v>106590</v>
      </c>
      <c r="T13" s="55"/>
      <c r="U13" s="55"/>
      <c r="V13" s="55">
        <f>22619.77</f>
        <v>22619.77</v>
      </c>
      <c r="W13" s="55"/>
      <c r="X13" s="55"/>
      <c r="Y13" s="55"/>
      <c r="Z13" s="55"/>
      <c r="AA13" s="56">
        <f>83970.23</f>
        <v>83970.23</v>
      </c>
      <c r="AB13" s="56"/>
      <c r="AC13" s="56"/>
    </row>
    <row r="14" spans="1:29" s="1" customFormat="1" ht="54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37</v>
      </c>
      <c r="N14" s="28"/>
      <c r="O14" s="28"/>
      <c r="P14" s="28" t="s">
        <v>42</v>
      </c>
      <c r="Q14" s="28"/>
      <c r="R14" s="28"/>
      <c r="S14" s="55">
        <f>3230</f>
        <v>3230</v>
      </c>
      <c r="T14" s="55"/>
      <c r="U14" s="55"/>
      <c r="V14" s="55">
        <f>226.08</f>
        <v>226.08</v>
      </c>
      <c r="W14" s="55"/>
      <c r="X14" s="55"/>
      <c r="Y14" s="55"/>
      <c r="Z14" s="55"/>
      <c r="AA14" s="56">
        <f>3003.92</f>
        <v>3003.92</v>
      </c>
      <c r="AB14" s="56"/>
      <c r="AC14" s="56"/>
    </row>
    <row r="15" spans="1:29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37</v>
      </c>
      <c r="N15" s="28"/>
      <c r="O15" s="28"/>
      <c r="P15" s="28" t="s">
        <v>44</v>
      </c>
      <c r="Q15" s="28"/>
      <c r="R15" s="28"/>
      <c r="S15" s="55">
        <f>213180</f>
        <v>213180</v>
      </c>
      <c r="T15" s="55"/>
      <c r="U15" s="55"/>
      <c r="V15" s="55">
        <f>42124.37</f>
        <v>42124.37</v>
      </c>
      <c r="W15" s="55"/>
      <c r="X15" s="55"/>
      <c r="Y15" s="55"/>
      <c r="Z15" s="55"/>
      <c r="AA15" s="56">
        <f>171055.63</f>
        <v>171055.63</v>
      </c>
      <c r="AB15" s="56"/>
      <c r="AC15" s="56"/>
    </row>
    <row r="16" spans="1:29" s="1" customFormat="1" ht="4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37</v>
      </c>
      <c r="N16" s="28"/>
      <c r="O16" s="28"/>
      <c r="P16" s="28" t="s">
        <v>46</v>
      </c>
      <c r="Q16" s="28"/>
      <c r="R16" s="28"/>
      <c r="S16" s="30" t="s">
        <v>47</v>
      </c>
      <c r="T16" s="30"/>
      <c r="U16" s="30"/>
      <c r="V16" s="55">
        <f>-4149.02</f>
        <v>-4149.02</v>
      </c>
      <c r="W16" s="55"/>
      <c r="X16" s="55"/>
      <c r="Y16" s="55"/>
      <c r="Z16" s="55"/>
      <c r="AA16" s="56">
        <f>0</f>
        <v>0</v>
      </c>
      <c r="AB16" s="56"/>
      <c r="AC16" s="56"/>
    </row>
    <row r="17" spans="1:29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37</v>
      </c>
      <c r="N17" s="28"/>
      <c r="O17" s="28"/>
      <c r="P17" s="28" t="s">
        <v>49</v>
      </c>
      <c r="Q17" s="28"/>
      <c r="R17" s="28"/>
      <c r="S17" s="55">
        <f>2727900</f>
        <v>2727900</v>
      </c>
      <c r="T17" s="55"/>
      <c r="U17" s="55"/>
      <c r="V17" s="55">
        <f>1137845.8</f>
        <v>1137845.8</v>
      </c>
      <c r="W17" s="55"/>
      <c r="X17" s="55"/>
      <c r="Y17" s="55"/>
      <c r="Z17" s="55"/>
      <c r="AA17" s="56">
        <f>1590054.2</f>
        <v>1590054.2</v>
      </c>
      <c r="AB17" s="56"/>
      <c r="AC17" s="56"/>
    </row>
    <row r="18" spans="1:29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37</v>
      </c>
      <c r="N18" s="28"/>
      <c r="O18" s="28"/>
      <c r="P18" s="28" t="s">
        <v>51</v>
      </c>
      <c r="Q18" s="28"/>
      <c r="R18" s="28"/>
      <c r="S18" s="55">
        <f>10000</f>
        <v>10000</v>
      </c>
      <c r="T18" s="55"/>
      <c r="U18" s="55"/>
      <c r="V18" s="30" t="s">
        <v>47</v>
      </c>
      <c r="W18" s="30"/>
      <c r="X18" s="30"/>
      <c r="Y18" s="30"/>
      <c r="Z18" s="30"/>
      <c r="AA18" s="56">
        <f>10000</f>
        <v>10000</v>
      </c>
      <c r="AB18" s="56"/>
      <c r="AC18" s="56"/>
    </row>
    <row r="19" spans="1:29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37</v>
      </c>
      <c r="N19" s="28"/>
      <c r="O19" s="28"/>
      <c r="P19" s="28" t="s">
        <v>53</v>
      </c>
      <c r="Q19" s="28"/>
      <c r="R19" s="28"/>
      <c r="S19" s="55">
        <f>5000</f>
        <v>5000</v>
      </c>
      <c r="T19" s="55"/>
      <c r="U19" s="55"/>
      <c r="V19" s="55">
        <f>-14206.7</f>
        <v>-14206.7</v>
      </c>
      <c r="W19" s="55"/>
      <c r="X19" s="55"/>
      <c r="Y19" s="55"/>
      <c r="Z19" s="55"/>
      <c r="AA19" s="56">
        <f>19206.7</f>
        <v>19206.7</v>
      </c>
      <c r="AB19" s="56"/>
      <c r="AC19" s="56"/>
    </row>
    <row r="20" spans="1:29" s="1" customFormat="1" ht="24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37</v>
      </c>
      <c r="N20" s="28"/>
      <c r="O20" s="28"/>
      <c r="P20" s="28" t="s">
        <v>55</v>
      </c>
      <c r="Q20" s="28"/>
      <c r="R20" s="28"/>
      <c r="S20" s="55">
        <f>254000</f>
        <v>254000</v>
      </c>
      <c r="T20" s="55"/>
      <c r="U20" s="55"/>
      <c r="V20" s="55">
        <f>13006.85</f>
        <v>13006.85</v>
      </c>
      <c r="W20" s="55"/>
      <c r="X20" s="55"/>
      <c r="Y20" s="55"/>
      <c r="Z20" s="55"/>
      <c r="AA20" s="56">
        <f>240993.15</f>
        <v>240993.15</v>
      </c>
      <c r="AB20" s="56"/>
      <c r="AC20" s="56"/>
    </row>
    <row r="21" spans="1:29" s="1" customFormat="1" ht="24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37</v>
      </c>
      <c r="N21" s="28"/>
      <c r="O21" s="28"/>
      <c r="P21" s="28" t="s">
        <v>57</v>
      </c>
      <c r="Q21" s="28"/>
      <c r="R21" s="28"/>
      <c r="S21" s="55">
        <f>94900</f>
        <v>94900</v>
      </c>
      <c r="T21" s="55"/>
      <c r="U21" s="55"/>
      <c r="V21" s="55">
        <f>12894</f>
        <v>12894</v>
      </c>
      <c r="W21" s="55"/>
      <c r="X21" s="55"/>
      <c r="Y21" s="55"/>
      <c r="Z21" s="55"/>
      <c r="AA21" s="56">
        <f>82006</f>
        <v>82006</v>
      </c>
      <c r="AB21" s="56"/>
      <c r="AC21" s="56"/>
    </row>
    <row r="22" spans="1:29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37</v>
      </c>
      <c r="N22" s="28"/>
      <c r="O22" s="28"/>
      <c r="P22" s="28" t="s">
        <v>59</v>
      </c>
      <c r="Q22" s="28"/>
      <c r="R22" s="28"/>
      <c r="S22" s="55">
        <f>46300</f>
        <v>46300</v>
      </c>
      <c r="T22" s="55"/>
      <c r="U22" s="55"/>
      <c r="V22" s="55">
        <f>5285.98</f>
        <v>5285.98</v>
      </c>
      <c r="W22" s="55"/>
      <c r="X22" s="55"/>
      <c r="Y22" s="55"/>
      <c r="Z22" s="55"/>
      <c r="AA22" s="56">
        <f>41014.02</f>
        <v>41014.02</v>
      </c>
      <c r="AB22" s="56"/>
      <c r="AC22" s="56"/>
    </row>
    <row r="23" spans="1:29" s="1" customFormat="1" ht="45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37</v>
      </c>
      <c r="N23" s="28"/>
      <c r="O23" s="28"/>
      <c r="P23" s="28" t="s">
        <v>61</v>
      </c>
      <c r="Q23" s="28"/>
      <c r="R23" s="28"/>
      <c r="S23" s="55">
        <f>27000</f>
        <v>27000</v>
      </c>
      <c r="T23" s="55"/>
      <c r="U23" s="55"/>
      <c r="V23" s="55">
        <f>3560</f>
        <v>3560</v>
      </c>
      <c r="W23" s="55"/>
      <c r="X23" s="55"/>
      <c r="Y23" s="55"/>
      <c r="Z23" s="55"/>
      <c r="AA23" s="56">
        <f>23440</f>
        <v>23440</v>
      </c>
      <c r="AB23" s="56"/>
      <c r="AC23" s="56"/>
    </row>
    <row r="24" spans="1:29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37</v>
      </c>
      <c r="N24" s="28"/>
      <c r="O24" s="28"/>
      <c r="P24" s="28" t="s">
        <v>63</v>
      </c>
      <c r="Q24" s="28"/>
      <c r="R24" s="28"/>
      <c r="S24" s="55">
        <f>302923.37</f>
        <v>302923.37</v>
      </c>
      <c r="T24" s="55"/>
      <c r="U24" s="55"/>
      <c r="V24" s="55">
        <f>239923.37</f>
        <v>239923.37</v>
      </c>
      <c r="W24" s="55"/>
      <c r="X24" s="55"/>
      <c r="Y24" s="55"/>
      <c r="Z24" s="55"/>
      <c r="AA24" s="56">
        <f>63000</f>
        <v>63000</v>
      </c>
      <c r="AB24" s="56"/>
      <c r="AC24" s="56"/>
    </row>
    <row r="25" spans="1:29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37</v>
      </c>
      <c r="N25" s="28"/>
      <c r="O25" s="28"/>
      <c r="P25" s="28" t="s">
        <v>65</v>
      </c>
      <c r="Q25" s="28"/>
      <c r="R25" s="28"/>
      <c r="S25" s="55">
        <f>26921500</f>
        <v>26921500</v>
      </c>
      <c r="T25" s="55"/>
      <c r="U25" s="55"/>
      <c r="V25" s="55">
        <f>5384304</f>
        <v>5384304</v>
      </c>
      <c r="W25" s="55"/>
      <c r="X25" s="55"/>
      <c r="Y25" s="55"/>
      <c r="Z25" s="55"/>
      <c r="AA25" s="56">
        <f>21537196</f>
        <v>21537196</v>
      </c>
      <c r="AB25" s="56"/>
      <c r="AC25" s="56"/>
    </row>
    <row r="26" spans="1:29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37</v>
      </c>
      <c r="N26" s="28"/>
      <c r="O26" s="28"/>
      <c r="P26" s="28" t="s">
        <v>67</v>
      </c>
      <c r="Q26" s="28"/>
      <c r="R26" s="28"/>
      <c r="S26" s="55">
        <f>11360900</f>
        <v>11360900</v>
      </c>
      <c r="T26" s="55"/>
      <c r="U26" s="55"/>
      <c r="V26" s="55">
        <f>2272180</f>
        <v>2272180</v>
      </c>
      <c r="W26" s="55"/>
      <c r="X26" s="55"/>
      <c r="Y26" s="55"/>
      <c r="Z26" s="55"/>
      <c r="AA26" s="56">
        <f>9088720</f>
        <v>9088720</v>
      </c>
      <c r="AB26" s="56"/>
      <c r="AC26" s="56"/>
    </row>
    <row r="27" spans="1:29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37</v>
      </c>
      <c r="N27" s="28"/>
      <c r="O27" s="28"/>
      <c r="P27" s="28" t="s">
        <v>69</v>
      </c>
      <c r="Q27" s="28"/>
      <c r="R27" s="28"/>
      <c r="S27" s="55">
        <f>378200</f>
        <v>378200</v>
      </c>
      <c r="T27" s="55"/>
      <c r="U27" s="55"/>
      <c r="V27" s="55">
        <f>94550</f>
        <v>94550</v>
      </c>
      <c r="W27" s="55"/>
      <c r="X27" s="55"/>
      <c r="Y27" s="55"/>
      <c r="Z27" s="55"/>
      <c r="AA27" s="56">
        <f>283650</f>
        <v>283650</v>
      </c>
      <c r="AB27" s="56"/>
      <c r="AC27" s="56"/>
    </row>
    <row r="28" spans="1:29" s="1" customFormat="1" ht="24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37</v>
      </c>
      <c r="N28" s="28"/>
      <c r="O28" s="28"/>
      <c r="P28" s="28" t="s">
        <v>71</v>
      </c>
      <c r="Q28" s="28"/>
      <c r="R28" s="28"/>
      <c r="S28" s="55">
        <f>5436</f>
        <v>5436</v>
      </c>
      <c r="T28" s="55"/>
      <c r="U28" s="55"/>
      <c r="V28" s="55">
        <f>2718</f>
        <v>2718</v>
      </c>
      <c r="W28" s="55"/>
      <c r="X28" s="55"/>
      <c r="Y28" s="55"/>
      <c r="Z28" s="55"/>
      <c r="AA28" s="56">
        <f>2718</f>
        <v>2718</v>
      </c>
      <c r="AB28" s="56"/>
      <c r="AC28" s="56"/>
    </row>
    <row r="29" spans="1:29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37</v>
      </c>
      <c r="N29" s="28"/>
      <c r="O29" s="28"/>
      <c r="P29" s="28" t="s">
        <v>73</v>
      </c>
      <c r="Q29" s="28"/>
      <c r="R29" s="28"/>
      <c r="S29" s="55">
        <f>76180.43</f>
        <v>76180.43</v>
      </c>
      <c r="T29" s="55"/>
      <c r="U29" s="55"/>
      <c r="V29" s="55">
        <f>19045</f>
        <v>19045</v>
      </c>
      <c r="W29" s="55"/>
      <c r="X29" s="55"/>
      <c r="Y29" s="55"/>
      <c r="Z29" s="55"/>
      <c r="AA29" s="56">
        <f>57135.43</f>
        <v>57135.43</v>
      </c>
      <c r="AB29" s="56"/>
      <c r="AC29" s="56"/>
    </row>
    <row r="30" spans="1:29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37</v>
      </c>
      <c r="N30" s="28"/>
      <c r="O30" s="28"/>
      <c r="P30" s="28" t="s">
        <v>75</v>
      </c>
      <c r="Q30" s="28"/>
      <c r="R30" s="28"/>
      <c r="S30" s="55">
        <f>29730923.86</f>
        <v>29730923.86</v>
      </c>
      <c r="T30" s="55"/>
      <c r="U30" s="55"/>
      <c r="V30" s="55">
        <f>7416285</f>
        <v>7416285</v>
      </c>
      <c r="W30" s="55"/>
      <c r="X30" s="55"/>
      <c r="Y30" s="55"/>
      <c r="Z30" s="55"/>
      <c r="AA30" s="56">
        <f>22314638.86</f>
        <v>22314638.86</v>
      </c>
      <c r="AB30" s="56"/>
      <c r="AC30" s="56"/>
    </row>
    <row r="31" spans="1:29" s="1" customFormat="1" ht="24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37</v>
      </c>
      <c r="N31" s="28"/>
      <c r="O31" s="28"/>
      <c r="P31" s="28" t="s">
        <v>77</v>
      </c>
      <c r="Q31" s="28"/>
      <c r="R31" s="28"/>
      <c r="S31" s="55">
        <f>920808.07</f>
        <v>920808.07</v>
      </c>
      <c r="T31" s="55"/>
      <c r="U31" s="55"/>
      <c r="V31" s="30" t="s">
        <v>47</v>
      </c>
      <c r="W31" s="30"/>
      <c r="X31" s="30"/>
      <c r="Y31" s="30"/>
      <c r="Z31" s="30"/>
      <c r="AA31" s="56">
        <f>920808.07</f>
        <v>920808.07</v>
      </c>
      <c r="AB31" s="56"/>
      <c r="AC31" s="56"/>
    </row>
    <row r="32" spans="1:29" s="1" customFormat="1" ht="33.75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37</v>
      </c>
      <c r="N32" s="28"/>
      <c r="O32" s="28"/>
      <c r="P32" s="28" t="s">
        <v>79</v>
      </c>
      <c r="Q32" s="28"/>
      <c r="R32" s="28"/>
      <c r="S32" s="30" t="s">
        <v>47</v>
      </c>
      <c r="T32" s="30"/>
      <c r="U32" s="30"/>
      <c r="V32" s="55">
        <f>8117471.59</f>
        <v>8117471.59</v>
      </c>
      <c r="W32" s="55"/>
      <c r="X32" s="55"/>
      <c r="Y32" s="55"/>
      <c r="Z32" s="55"/>
      <c r="AA32" s="56">
        <f>0</f>
        <v>0</v>
      </c>
      <c r="AB32" s="56"/>
      <c r="AC32" s="56"/>
    </row>
    <row r="33" spans="1:29" s="1" customFormat="1" ht="33.7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 t="s">
        <v>37</v>
      </c>
      <c r="N33" s="28"/>
      <c r="O33" s="28"/>
      <c r="P33" s="28" t="s">
        <v>81</v>
      </c>
      <c r="Q33" s="28"/>
      <c r="R33" s="28"/>
      <c r="S33" s="30" t="s">
        <v>47</v>
      </c>
      <c r="T33" s="30"/>
      <c r="U33" s="30"/>
      <c r="V33" s="55">
        <f>-1200040</f>
        <v>-1200040</v>
      </c>
      <c r="W33" s="55"/>
      <c r="X33" s="55"/>
      <c r="Y33" s="55"/>
      <c r="Z33" s="55"/>
      <c r="AA33" s="56">
        <f>0</f>
        <v>0</v>
      </c>
      <c r="AB33" s="56"/>
      <c r="AC33" s="56"/>
    </row>
    <row r="34" spans="1:29" s="1" customFormat="1" ht="13.5" customHeight="1">
      <c r="A34" s="54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s="1" customFormat="1" ht="13.5" customHeight="1">
      <c r="A35" s="43" t="s">
        <v>82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1" customFormat="1" ht="34.5" customHeight="1">
      <c r="A36" s="44" t="s">
        <v>24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 t="s">
        <v>25</v>
      </c>
      <c r="M36" s="44"/>
      <c r="N36" s="44"/>
      <c r="O36" s="44" t="s">
        <v>83</v>
      </c>
      <c r="P36" s="44"/>
      <c r="Q36" s="44"/>
      <c r="R36" s="45" t="s">
        <v>84</v>
      </c>
      <c r="S36" s="45"/>
      <c r="T36" s="45" t="s">
        <v>27</v>
      </c>
      <c r="U36" s="45"/>
      <c r="V36" s="45"/>
      <c r="W36" s="45" t="s">
        <v>28</v>
      </c>
      <c r="X36" s="45"/>
      <c r="Y36" s="45"/>
      <c r="Z36" s="45"/>
      <c r="AA36" s="45"/>
      <c r="AB36" s="46" t="s">
        <v>29</v>
      </c>
      <c r="AC36" s="46"/>
    </row>
    <row r="37" spans="1:29" s="1" customFormat="1" ht="13.5" customHeight="1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 t="s">
        <v>31</v>
      </c>
      <c r="M37" s="39"/>
      <c r="N37" s="39"/>
      <c r="O37" s="39" t="s">
        <v>32</v>
      </c>
      <c r="P37" s="39"/>
      <c r="Q37" s="39"/>
      <c r="R37" s="40" t="s">
        <v>33</v>
      </c>
      <c r="S37" s="40"/>
      <c r="T37" s="40" t="s">
        <v>34</v>
      </c>
      <c r="U37" s="40"/>
      <c r="V37" s="40"/>
      <c r="W37" s="40" t="s">
        <v>35</v>
      </c>
      <c r="X37" s="40"/>
      <c r="Y37" s="40"/>
      <c r="Z37" s="40"/>
      <c r="AA37" s="40"/>
      <c r="AB37" s="41" t="s">
        <v>85</v>
      </c>
      <c r="AC37" s="41"/>
    </row>
    <row r="38" spans="1:29" s="1" customFormat="1" ht="13.5" customHeight="1">
      <c r="A38" s="34" t="s">
        <v>86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 t="s">
        <v>87</v>
      </c>
      <c r="M38" s="35"/>
      <c r="N38" s="35"/>
      <c r="O38" s="35" t="s">
        <v>38</v>
      </c>
      <c r="P38" s="35"/>
      <c r="Q38" s="35"/>
      <c r="R38" s="52" t="s">
        <v>38</v>
      </c>
      <c r="S38" s="52"/>
      <c r="T38" s="37">
        <f>77728335.83</f>
        <v>77728335.83</v>
      </c>
      <c r="U38" s="37"/>
      <c r="V38" s="37"/>
      <c r="W38" s="37">
        <f>15432522.76</f>
        <v>15432522.76</v>
      </c>
      <c r="X38" s="37"/>
      <c r="Y38" s="37"/>
      <c r="Z38" s="37"/>
      <c r="AA38" s="37"/>
      <c r="AB38" s="53">
        <f>62295813.07</f>
        <v>62295813.07</v>
      </c>
      <c r="AC38" s="53"/>
    </row>
    <row r="39" spans="1:29" s="1" customFormat="1" ht="13.5" customHeight="1">
      <c r="A39" s="13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87</v>
      </c>
      <c r="M39" s="14"/>
      <c r="N39" s="14"/>
      <c r="O39" s="14" t="s">
        <v>89</v>
      </c>
      <c r="P39" s="14"/>
      <c r="Q39" s="14"/>
      <c r="R39" s="22" t="s">
        <v>90</v>
      </c>
      <c r="S39" s="22"/>
      <c r="T39" s="16">
        <f>1520000</f>
        <v>1520000</v>
      </c>
      <c r="U39" s="16"/>
      <c r="V39" s="16"/>
      <c r="W39" s="16">
        <f>511293.58</f>
        <v>511293.58</v>
      </c>
      <c r="X39" s="16"/>
      <c r="Y39" s="16"/>
      <c r="Z39" s="16"/>
      <c r="AA39" s="16"/>
      <c r="AB39" s="51">
        <f>1008706.42</f>
        <v>1008706.42</v>
      </c>
      <c r="AC39" s="51"/>
    </row>
    <row r="40" spans="1:29" s="1" customFormat="1" ht="13.5" customHeight="1">
      <c r="A40" s="13" t="s">
        <v>91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87</v>
      </c>
      <c r="M40" s="14"/>
      <c r="N40" s="14"/>
      <c r="O40" s="14" t="s">
        <v>92</v>
      </c>
      <c r="P40" s="14"/>
      <c r="Q40" s="14"/>
      <c r="R40" s="22" t="s">
        <v>93</v>
      </c>
      <c r="S40" s="22"/>
      <c r="T40" s="16">
        <f>340000</f>
        <v>340000</v>
      </c>
      <c r="U40" s="16"/>
      <c r="V40" s="16"/>
      <c r="W40" s="16">
        <f>154049.68</f>
        <v>154049.68</v>
      </c>
      <c r="X40" s="16"/>
      <c r="Y40" s="16"/>
      <c r="Z40" s="16"/>
      <c r="AA40" s="16"/>
      <c r="AB40" s="51">
        <f>185950.32</f>
        <v>185950.32</v>
      </c>
      <c r="AC40" s="51"/>
    </row>
    <row r="41" spans="1:29" s="1" customFormat="1" ht="13.5" customHeight="1">
      <c r="A41" s="13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87</v>
      </c>
      <c r="M41" s="14"/>
      <c r="N41" s="14"/>
      <c r="O41" s="14" t="s">
        <v>94</v>
      </c>
      <c r="P41" s="14"/>
      <c r="Q41" s="14"/>
      <c r="R41" s="22" t="s">
        <v>90</v>
      </c>
      <c r="S41" s="22"/>
      <c r="T41" s="16">
        <f>9613000</f>
        <v>9613000</v>
      </c>
      <c r="U41" s="16"/>
      <c r="V41" s="16"/>
      <c r="W41" s="16">
        <f>1492354.59</f>
        <v>1492354.59</v>
      </c>
      <c r="X41" s="16"/>
      <c r="Y41" s="16"/>
      <c r="Z41" s="16"/>
      <c r="AA41" s="16"/>
      <c r="AB41" s="51">
        <f>8120645.41</f>
        <v>8120645.41</v>
      </c>
      <c r="AC41" s="51"/>
    </row>
    <row r="42" spans="1:29" s="1" customFormat="1" ht="13.5" customHeight="1">
      <c r="A42" s="13" t="s">
        <v>95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87</v>
      </c>
      <c r="M42" s="14"/>
      <c r="N42" s="14"/>
      <c r="O42" s="14" t="s">
        <v>96</v>
      </c>
      <c r="P42" s="14"/>
      <c r="Q42" s="14"/>
      <c r="R42" s="22" t="s">
        <v>97</v>
      </c>
      <c r="S42" s="22"/>
      <c r="T42" s="16">
        <f>10000</f>
        <v>10000</v>
      </c>
      <c r="U42" s="16"/>
      <c r="V42" s="16"/>
      <c r="W42" s="20" t="s">
        <v>47</v>
      </c>
      <c r="X42" s="20"/>
      <c r="Y42" s="20"/>
      <c r="Z42" s="20"/>
      <c r="AA42" s="20"/>
      <c r="AB42" s="51">
        <f>10000</f>
        <v>10000</v>
      </c>
      <c r="AC42" s="51"/>
    </row>
    <row r="43" spans="1:29" s="1" customFormat="1" ht="13.5" customHeight="1">
      <c r="A43" s="13" t="s">
        <v>91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87</v>
      </c>
      <c r="M43" s="14"/>
      <c r="N43" s="14"/>
      <c r="O43" s="14" t="s">
        <v>98</v>
      </c>
      <c r="P43" s="14"/>
      <c r="Q43" s="14"/>
      <c r="R43" s="22" t="s">
        <v>93</v>
      </c>
      <c r="S43" s="22"/>
      <c r="T43" s="16">
        <f>2700980.04</f>
        <v>2700980.04</v>
      </c>
      <c r="U43" s="16"/>
      <c r="V43" s="16"/>
      <c r="W43" s="16">
        <f>215807.86</f>
        <v>215807.86</v>
      </c>
      <c r="X43" s="16"/>
      <c r="Y43" s="16"/>
      <c r="Z43" s="16"/>
      <c r="AA43" s="16"/>
      <c r="AB43" s="51">
        <f>2485172.18</f>
        <v>2485172.18</v>
      </c>
      <c r="AC43" s="51"/>
    </row>
    <row r="44" spans="1:29" s="1" customFormat="1" ht="13.5" customHeight="1">
      <c r="A44" s="13" t="s">
        <v>99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87</v>
      </c>
      <c r="M44" s="14"/>
      <c r="N44" s="14"/>
      <c r="O44" s="14" t="s">
        <v>100</v>
      </c>
      <c r="P44" s="14"/>
      <c r="Q44" s="14"/>
      <c r="R44" s="22" t="s">
        <v>101</v>
      </c>
      <c r="S44" s="22"/>
      <c r="T44" s="16">
        <f>6000</f>
        <v>6000</v>
      </c>
      <c r="U44" s="16"/>
      <c r="V44" s="16"/>
      <c r="W44" s="16">
        <f>1522.4</f>
        <v>1522.4</v>
      </c>
      <c r="X44" s="16"/>
      <c r="Y44" s="16"/>
      <c r="Z44" s="16"/>
      <c r="AA44" s="16"/>
      <c r="AB44" s="51">
        <f>4477.6</f>
        <v>4477.6</v>
      </c>
      <c r="AC44" s="51"/>
    </row>
    <row r="45" spans="1:29" s="1" customFormat="1" ht="13.5" customHeight="1">
      <c r="A45" s="13" t="s">
        <v>102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87</v>
      </c>
      <c r="M45" s="14"/>
      <c r="N45" s="14"/>
      <c r="O45" s="14" t="s">
        <v>100</v>
      </c>
      <c r="P45" s="14"/>
      <c r="Q45" s="14"/>
      <c r="R45" s="22" t="s">
        <v>103</v>
      </c>
      <c r="S45" s="22"/>
      <c r="T45" s="16">
        <f>257019.96</f>
        <v>257019.96</v>
      </c>
      <c r="U45" s="16"/>
      <c r="V45" s="16"/>
      <c r="W45" s="16">
        <f>23276.96</f>
        <v>23276.96</v>
      </c>
      <c r="X45" s="16"/>
      <c r="Y45" s="16"/>
      <c r="Z45" s="16"/>
      <c r="AA45" s="16"/>
      <c r="AB45" s="51">
        <f>233743</f>
        <v>233743</v>
      </c>
      <c r="AC45" s="51"/>
    </row>
    <row r="46" spans="1:29" s="1" customFormat="1" ht="13.5" customHeight="1">
      <c r="A46" s="13" t="s">
        <v>104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87</v>
      </c>
      <c r="M46" s="14"/>
      <c r="N46" s="14"/>
      <c r="O46" s="14" t="s">
        <v>100</v>
      </c>
      <c r="P46" s="14"/>
      <c r="Q46" s="14"/>
      <c r="R46" s="22" t="s">
        <v>105</v>
      </c>
      <c r="S46" s="22"/>
      <c r="T46" s="16">
        <f>287000</f>
        <v>287000</v>
      </c>
      <c r="U46" s="16"/>
      <c r="V46" s="16"/>
      <c r="W46" s="16">
        <f>21000</f>
        <v>21000</v>
      </c>
      <c r="X46" s="16"/>
      <c r="Y46" s="16"/>
      <c r="Z46" s="16"/>
      <c r="AA46" s="16"/>
      <c r="AB46" s="51">
        <f>266000</f>
        <v>266000</v>
      </c>
      <c r="AC46" s="51"/>
    </row>
    <row r="47" spans="1:29" s="1" customFormat="1" ht="13.5" customHeight="1">
      <c r="A47" s="13" t="s">
        <v>106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87</v>
      </c>
      <c r="M47" s="14"/>
      <c r="N47" s="14"/>
      <c r="O47" s="14" t="s">
        <v>100</v>
      </c>
      <c r="P47" s="14"/>
      <c r="Q47" s="14"/>
      <c r="R47" s="22" t="s">
        <v>107</v>
      </c>
      <c r="S47" s="22"/>
      <c r="T47" s="16">
        <f>68400</f>
        <v>68400</v>
      </c>
      <c r="U47" s="16"/>
      <c r="V47" s="16"/>
      <c r="W47" s="16">
        <f>5600</f>
        <v>5600</v>
      </c>
      <c r="X47" s="16"/>
      <c r="Y47" s="16"/>
      <c r="Z47" s="16"/>
      <c r="AA47" s="16"/>
      <c r="AB47" s="51">
        <f>62800</f>
        <v>62800</v>
      </c>
      <c r="AC47" s="51"/>
    </row>
    <row r="48" spans="1:29" s="1" customFormat="1" ht="13.5" customHeight="1">
      <c r="A48" s="13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87</v>
      </c>
      <c r="M48" s="14"/>
      <c r="N48" s="14"/>
      <c r="O48" s="14" t="s">
        <v>108</v>
      </c>
      <c r="P48" s="14"/>
      <c r="Q48" s="14"/>
      <c r="R48" s="22" t="s">
        <v>105</v>
      </c>
      <c r="S48" s="22"/>
      <c r="T48" s="16">
        <f>2000</f>
        <v>2000</v>
      </c>
      <c r="U48" s="16"/>
      <c r="V48" s="16"/>
      <c r="W48" s="20" t="s">
        <v>47</v>
      </c>
      <c r="X48" s="20"/>
      <c r="Y48" s="20"/>
      <c r="Z48" s="20"/>
      <c r="AA48" s="20"/>
      <c r="AB48" s="51">
        <f>2000</f>
        <v>2000</v>
      </c>
      <c r="AC48" s="51"/>
    </row>
    <row r="49" spans="1:29" s="1" customFormat="1" ht="13.5" customHeight="1">
      <c r="A49" s="13" t="s">
        <v>104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87</v>
      </c>
      <c r="M49" s="14"/>
      <c r="N49" s="14"/>
      <c r="O49" s="14" t="s">
        <v>109</v>
      </c>
      <c r="P49" s="14"/>
      <c r="Q49" s="14"/>
      <c r="R49" s="22" t="s">
        <v>105</v>
      </c>
      <c r="S49" s="22"/>
      <c r="T49" s="16">
        <f>35000</f>
        <v>35000</v>
      </c>
      <c r="U49" s="16"/>
      <c r="V49" s="16"/>
      <c r="W49" s="16">
        <f>2691.92</f>
        <v>2691.92</v>
      </c>
      <c r="X49" s="16"/>
      <c r="Y49" s="16"/>
      <c r="Z49" s="16"/>
      <c r="AA49" s="16"/>
      <c r="AB49" s="51">
        <f>32308.08</f>
        <v>32308.08</v>
      </c>
      <c r="AC49" s="51"/>
    </row>
    <row r="50" spans="1:29" s="1" customFormat="1" ht="13.5" customHeight="1">
      <c r="A50" s="13" t="s">
        <v>104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87</v>
      </c>
      <c r="M50" s="14"/>
      <c r="N50" s="14"/>
      <c r="O50" s="14" t="s">
        <v>110</v>
      </c>
      <c r="P50" s="14"/>
      <c r="Q50" s="14"/>
      <c r="R50" s="22" t="s">
        <v>105</v>
      </c>
      <c r="S50" s="22"/>
      <c r="T50" s="16">
        <f>150000</f>
        <v>150000</v>
      </c>
      <c r="U50" s="16"/>
      <c r="V50" s="16"/>
      <c r="W50" s="20" t="s">
        <v>47</v>
      </c>
      <c r="X50" s="20"/>
      <c r="Y50" s="20"/>
      <c r="Z50" s="20"/>
      <c r="AA50" s="20"/>
      <c r="AB50" s="51">
        <f>150000</f>
        <v>150000</v>
      </c>
      <c r="AC50" s="51"/>
    </row>
    <row r="51" spans="1:29" s="1" customFormat="1" ht="13.5" customHeight="1">
      <c r="A51" s="13" t="s">
        <v>102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87</v>
      </c>
      <c r="M51" s="14"/>
      <c r="N51" s="14"/>
      <c r="O51" s="14" t="s">
        <v>111</v>
      </c>
      <c r="P51" s="14"/>
      <c r="Q51" s="14"/>
      <c r="R51" s="22" t="s">
        <v>103</v>
      </c>
      <c r="S51" s="22"/>
      <c r="T51" s="16">
        <f>69000</f>
        <v>69000</v>
      </c>
      <c r="U51" s="16"/>
      <c r="V51" s="16"/>
      <c r="W51" s="20" t="s">
        <v>47</v>
      </c>
      <c r="X51" s="20"/>
      <c r="Y51" s="20"/>
      <c r="Z51" s="20"/>
      <c r="AA51" s="20"/>
      <c r="AB51" s="51">
        <f>69000</f>
        <v>69000</v>
      </c>
      <c r="AC51" s="51"/>
    </row>
    <row r="52" spans="1:29" s="1" customFormat="1" ht="13.5" customHeight="1">
      <c r="A52" s="13" t="s">
        <v>112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87</v>
      </c>
      <c r="M52" s="14"/>
      <c r="N52" s="14"/>
      <c r="O52" s="14" t="s">
        <v>111</v>
      </c>
      <c r="P52" s="14"/>
      <c r="Q52" s="14"/>
      <c r="R52" s="22" t="s">
        <v>113</v>
      </c>
      <c r="S52" s="22"/>
      <c r="T52" s="16">
        <f>163345</f>
        <v>163345</v>
      </c>
      <c r="U52" s="16"/>
      <c r="V52" s="16"/>
      <c r="W52" s="20" t="s">
        <v>47</v>
      </c>
      <c r="X52" s="20"/>
      <c r="Y52" s="20"/>
      <c r="Z52" s="20"/>
      <c r="AA52" s="20"/>
      <c r="AB52" s="51">
        <f>163345</f>
        <v>163345</v>
      </c>
      <c r="AC52" s="51"/>
    </row>
    <row r="53" spans="1:29" s="1" customFormat="1" ht="13.5" customHeight="1">
      <c r="A53" s="13" t="s">
        <v>106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87</v>
      </c>
      <c r="M53" s="14"/>
      <c r="N53" s="14"/>
      <c r="O53" s="14" t="s">
        <v>111</v>
      </c>
      <c r="P53" s="14"/>
      <c r="Q53" s="14"/>
      <c r="R53" s="22" t="s">
        <v>107</v>
      </c>
      <c r="S53" s="22"/>
      <c r="T53" s="16">
        <f>22474</f>
        <v>22474</v>
      </c>
      <c r="U53" s="16"/>
      <c r="V53" s="16"/>
      <c r="W53" s="16">
        <f>5000</f>
        <v>5000</v>
      </c>
      <c r="X53" s="16"/>
      <c r="Y53" s="16"/>
      <c r="Z53" s="16"/>
      <c r="AA53" s="16"/>
      <c r="AB53" s="51">
        <f>17474</f>
        <v>17474</v>
      </c>
      <c r="AC53" s="51"/>
    </row>
    <row r="54" spans="1:29" s="1" customFormat="1" ht="13.5" customHeight="1">
      <c r="A54" s="13" t="s">
        <v>104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87</v>
      </c>
      <c r="M54" s="14"/>
      <c r="N54" s="14"/>
      <c r="O54" s="14" t="s">
        <v>114</v>
      </c>
      <c r="P54" s="14"/>
      <c r="Q54" s="14"/>
      <c r="R54" s="22" t="s">
        <v>105</v>
      </c>
      <c r="S54" s="22"/>
      <c r="T54" s="16">
        <f>20000</f>
        <v>20000</v>
      </c>
      <c r="U54" s="16"/>
      <c r="V54" s="16"/>
      <c r="W54" s="16">
        <f>2529</f>
        <v>2529</v>
      </c>
      <c r="X54" s="16"/>
      <c r="Y54" s="16"/>
      <c r="Z54" s="16"/>
      <c r="AA54" s="16"/>
      <c r="AB54" s="51">
        <f>17471</f>
        <v>17471</v>
      </c>
      <c r="AC54" s="51"/>
    </row>
    <row r="55" spans="1:29" s="1" customFormat="1" ht="13.5" customHeight="1">
      <c r="A55" s="13" t="s">
        <v>104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87</v>
      </c>
      <c r="M55" s="14"/>
      <c r="N55" s="14"/>
      <c r="O55" s="14" t="s">
        <v>115</v>
      </c>
      <c r="P55" s="14"/>
      <c r="Q55" s="14"/>
      <c r="R55" s="22" t="s">
        <v>105</v>
      </c>
      <c r="S55" s="22"/>
      <c r="T55" s="16">
        <f>45674</f>
        <v>45674</v>
      </c>
      <c r="U55" s="16"/>
      <c r="V55" s="16"/>
      <c r="W55" s="20" t="s">
        <v>47</v>
      </c>
      <c r="X55" s="20"/>
      <c r="Y55" s="20"/>
      <c r="Z55" s="20"/>
      <c r="AA55" s="20"/>
      <c r="AB55" s="51">
        <f>45674</f>
        <v>45674</v>
      </c>
      <c r="AC55" s="51"/>
    </row>
    <row r="56" spans="1:29" s="1" customFormat="1" ht="13.5" customHeight="1">
      <c r="A56" s="13" t="s">
        <v>104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87</v>
      </c>
      <c r="M56" s="14"/>
      <c r="N56" s="14"/>
      <c r="O56" s="14" t="s">
        <v>116</v>
      </c>
      <c r="P56" s="14"/>
      <c r="Q56" s="14"/>
      <c r="R56" s="22" t="s">
        <v>105</v>
      </c>
      <c r="S56" s="22"/>
      <c r="T56" s="16">
        <f>15000</f>
        <v>15000</v>
      </c>
      <c r="U56" s="16"/>
      <c r="V56" s="16"/>
      <c r="W56" s="20" t="s">
        <v>47</v>
      </c>
      <c r="X56" s="20"/>
      <c r="Y56" s="20"/>
      <c r="Z56" s="20"/>
      <c r="AA56" s="20"/>
      <c r="AB56" s="51">
        <f>15000</f>
        <v>15000</v>
      </c>
      <c r="AC56" s="51"/>
    </row>
    <row r="57" spans="1:29" s="1" customFormat="1" ht="13.5" customHeight="1">
      <c r="A57" s="13" t="s">
        <v>117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87</v>
      </c>
      <c r="M57" s="14"/>
      <c r="N57" s="14"/>
      <c r="O57" s="14" t="s">
        <v>118</v>
      </c>
      <c r="P57" s="14"/>
      <c r="Q57" s="14"/>
      <c r="R57" s="22" t="s">
        <v>119</v>
      </c>
      <c r="S57" s="22"/>
      <c r="T57" s="16">
        <f>405803.19</f>
        <v>405803.19</v>
      </c>
      <c r="U57" s="16"/>
      <c r="V57" s="16"/>
      <c r="W57" s="16">
        <f>80958.24</f>
        <v>80958.24</v>
      </c>
      <c r="X57" s="16"/>
      <c r="Y57" s="16"/>
      <c r="Z57" s="16"/>
      <c r="AA57" s="16"/>
      <c r="AB57" s="51">
        <f>324844.95</f>
        <v>324844.95</v>
      </c>
      <c r="AC57" s="51"/>
    </row>
    <row r="58" spans="1:29" s="1" customFormat="1" ht="13.5" customHeight="1">
      <c r="A58" s="13" t="s">
        <v>120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87</v>
      </c>
      <c r="M58" s="14"/>
      <c r="N58" s="14"/>
      <c r="O58" s="14" t="s">
        <v>118</v>
      </c>
      <c r="P58" s="14"/>
      <c r="Q58" s="14"/>
      <c r="R58" s="22" t="s">
        <v>121</v>
      </c>
      <c r="S58" s="22"/>
      <c r="T58" s="16">
        <f>334080.1</f>
        <v>334080.1</v>
      </c>
      <c r="U58" s="16"/>
      <c r="V58" s="16"/>
      <c r="W58" s="16">
        <f>50538.04</f>
        <v>50538.04</v>
      </c>
      <c r="X58" s="16"/>
      <c r="Y58" s="16"/>
      <c r="Z58" s="16"/>
      <c r="AA58" s="16"/>
      <c r="AB58" s="51">
        <f>283542.06</f>
        <v>283542.06</v>
      </c>
      <c r="AC58" s="51"/>
    </row>
    <row r="59" spans="1:29" s="1" customFormat="1" ht="13.5" customHeight="1">
      <c r="A59" s="13" t="s">
        <v>102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87</v>
      </c>
      <c r="M59" s="14"/>
      <c r="N59" s="14"/>
      <c r="O59" s="14" t="s">
        <v>118</v>
      </c>
      <c r="P59" s="14"/>
      <c r="Q59" s="14"/>
      <c r="R59" s="22" t="s">
        <v>103</v>
      </c>
      <c r="S59" s="22"/>
      <c r="T59" s="16">
        <f>50435.97</f>
        <v>50435.97</v>
      </c>
      <c r="U59" s="16"/>
      <c r="V59" s="16"/>
      <c r="W59" s="20" t="s">
        <v>47</v>
      </c>
      <c r="X59" s="20"/>
      <c r="Y59" s="20"/>
      <c r="Z59" s="20"/>
      <c r="AA59" s="20"/>
      <c r="AB59" s="51">
        <f>50435.97</f>
        <v>50435.97</v>
      </c>
      <c r="AC59" s="51"/>
    </row>
    <row r="60" spans="1:29" s="1" customFormat="1" ht="13.5" customHeight="1">
      <c r="A60" s="13" t="s">
        <v>112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87</v>
      </c>
      <c r="M60" s="14"/>
      <c r="N60" s="14"/>
      <c r="O60" s="14" t="s">
        <v>118</v>
      </c>
      <c r="P60" s="14"/>
      <c r="Q60" s="14"/>
      <c r="R60" s="22" t="s">
        <v>113</v>
      </c>
      <c r="S60" s="22"/>
      <c r="T60" s="16">
        <f>500000</f>
        <v>500000</v>
      </c>
      <c r="U60" s="16"/>
      <c r="V60" s="16"/>
      <c r="W60" s="20" t="s">
        <v>47</v>
      </c>
      <c r="X60" s="20"/>
      <c r="Y60" s="20"/>
      <c r="Z60" s="20"/>
      <c r="AA60" s="20"/>
      <c r="AB60" s="51">
        <f>500000</f>
        <v>500000</v>
      </c>
      <c r="AC60" s="51"/>
    </row>
    <row r="61" spans="1:29" s="1" customFormat="1" ht="13.5" customHeight="1">
      <c r="A61" s="13" t="s">
        <v>106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87</v>
      </c>
      <c r="M61" s="14"/>
      <c r="N61" s="14"/>
      <c r="O61" s="14" t="s">
        <v>118</v>
      </c>
      <c r="P61" s="14"/>
      <c r="Q61" s="14"/>
      <c r="R61" s="22" t="s">
        <v>107</v>
      </c>
      <c r="S61" s="22"/>
      <c r="T61" s="16">
        <f>1008433.62</f>
        <v>1008433.62</v>
      </c>
      <c r="U61" s="16"/>
      <c r="V61" s="16"/>
      <c r="W61" s="16">
        <f>125617.17</f>
        <v>125617.17</v>
      </c>
      <c r="X61" s="16"/>
      <c r="Y61" s="16"/>
      <c r="Z61" s="16"/>
      <c r="AA61" s="16"/>
      <c r="AB61" s="51">
        <f>882816.45</f>
        <v>882816.45</v>
      </c>
      <c r="AC61" s="51"/>
    </row>
    <row r="62" spans="1:29" s="1" customFormat="1" ht="13.5" customHeight="1">
      <c r="A62" s="13" t="s">
        <v>95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87</v>
      </c>
      <c r="M62" s="14"/>
      <c r="N62" s="14"/>
      <c r="O62" s="14" t="s">
        <v>122</v>
      </c>
      <c r="P62" s="14"/>
      <c r="Q62" s="14"/>
      <c r="R62" s="22" t="s">
        <v>97</v>
      </c>
      <c r="S62" s="22"/>
      <c r="T62" s="16">
        <f>1031000</f>
        <v>1031000</v>
      </c>
      <c r="U62" s="16"/>
      <c r="V62" s="16"/>
      <c r="W62" s="16">
        <f>260000</f>
        <v>260000</v>
      </c>
      <c r="X62" s="16"/>
      <c r="Y62" s="16"/>
      <c r="Z62" s="16"/>
      <c r="AA62" s="16"/>
      <c r="AB62" s="51">
        <f>771000</f>
        <v>771000</v>
      </c>
      <c r="AC62" s="51"/>
    </row>
    <row r="63" spans="1:29" s="1" customFormat="1" ht="13.5" customHeight="1">
      <c r="A63" s="13" t="s">
        <v>123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87</v>
      </c>
      <c r="M63" s="14"/>
      <c r="N63" s="14"/>
      <c r="O63" s="14" t="s">
        <v>124</v>
      </c>
      <c r="P63" s="14"/>
      <c r="Q63" s="14"/>
      <c r="R63" s="22" t="s">
        <v>125</v>
      </c>
      <c r="S63" s="22"/>
      <c r="T63" s="16">
        <f>63000</f>
        <v>63000</v>
      </c>
      <c r="U63" s="16"/>
      <c r="V63" s="16"/>
      <c r="W63" s="16">
        <f>63000</f>
        <v>63000</v>
      </c>
      <c r="X63" s="16"/>
      <c r="Y63" s="16"/>
      <c r="Z63" s="16"/>
      <c r="AA63" s="16"/>
      <c r="AB63" s="51">
        <f>0</f>
        <v>0</v>
      </c>
      <c r="AC63" s="51"/>
    </row>
    <row r="64" spans="1:29" s="1" customFormat="1" ht="13.5" customHeight="1">
      <c r="A64" s="13" t="s">
        <v>88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87</v>
      </c>
      <c r="M64" s="14"/>
      <c r="N64" s="14"/>
      <c r="O64" s="14" t="s">
        <v>126</v>
      </c>
      <c r="P64" s="14"/>
      <c r="Q64" s="14"/>
      <c r="R64" s="22" t="s">
        <v>90</v>
      </c>
      <c r="S64" s="22"/>
      <c r="T64" s="16">
        <f>290476.19</f>
        <v>290476.19</v>
      </c>
      <c r="U64" s="16"/>
      <c r="V64" s="16"/>
      <c r="W64" s="16">
        <f>27546.81</f>
        <v>27546.81</v>
      </c>
      <c r="X64" s="16"/>
      <c r="Y64" s="16"/>
      <c r="Z64" s="16"/>
      <c r="AA64" s="16"/>
      <c r="AB64" s="51">
        <f>262929.38</f>
        <v>262929.38</v>
      </c>
      <c r="AC64" s="51"/>
    </row>
    <row r="65" spans="1:29" s="1" customFormat="1" ht="13.5" customHeight="1">
      <c r="A65" s="13" t="s">
        <v>91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87</v>
      </c>
      <c r="M65" s="14"/>
      <c r="N65" s="14"/>
      <c r="O65" s="14" t="s">
        <v>127</v>
      </c>
      <c r="P65" s="14"/>
      <c r="Q65" s="14"/>
      <c r="R65" s="22" t="s">
        <v>93</v>
      </c>
      <c r="S65" s="22"/>
      <c r="T65" s="16">
        <f>87723.81</f>
        <v>87723.81</v>
      </c>
      <c r="U65" s="16"/>
      <c r="V65" s="16"/>
      <c r="W65" s="16">
        <f>8319.13</f>
        <v>8319.13</v>
      </c>
      <c r="X65" s="16"/>
      <c r="Y65" s="16"/>
      <c r="Z65" s="16"/>
      <c r="AA65" s="16"/>
      <c r="AB65" s="51">
        <f>79404.68</f>
        <v>79404.68</v>
      </c>
      <c r="AC65" s="51"/>
    </row>
    <row r="66" spans="1:29" s="1" customFormat="1" ht="13.5" customHeight="1">
      <c r="A66" s="13" t="s">
        <v>88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87</v>
      </c>
      <c r="M66" s="14"/>
      <c r="N66" s="14"/>
      <c r="O66" s="14" t="s">
        <v>128</v>
      </c>
      <c r="P66" s="14"/>
      <c r="Q66" s="14"/>
      <c r="R66" s="22" t="s">
        <v>90</v>
      </c>
      <c r="S66" s="22"/>
      <c r="T66" s="16">
        <f>4276.95</f>
        <v>4276.95</v>
      </c>
      <c r="U66" s="16"/>
      <c r="V66" s="16"/>
      <c r="W66" s="16">
        <f>1069.23</f>
        <v>1069.23</v>
      </c>
      <c r="X66" s="16"/>
      <c r="Y66" s="16"/>
      <c r="Z66" s="16"/>
      <c r="AA66" s="16"/>
      <c r="AB66" s="51">
        <f>3207.72</f>
        <v>3207.72</v>
      </c>
      <c r="AC66" s="51"/>
    </row>
    <row r="67" spans="1:29" s="1" customFormat="1" ht="13.5" customHeight="1">
      <c r="A67" s="13" t="s">
        <v>91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87</v>
      </c>
      <c r="M67" s="14"/>
      <c r="N67" s="14"/>
      <c r="O67" s="14" t="s">
        <v>129</v>
      </c>
      <c r="P67" s="14"/>
      <c r="Q67" s="14"/>
      <c r="R67" s="22" t="s">
        <v>93</v>
      </c>
      <c r="S67" s="22"/>
      <c r="T67" s="16">
        <f>1159.05</f>
        <v>1159.05</v>
      </c>
      <c r="U67" s="16"/>
      <c r="V67" s="16"/>
      <c r="W67" s="16">
        <f>289.76</f>
        <v>289.76</v>
      </c>
      <c r="X67" s="16"/>
      <c r="Y67" s="16"/>
      <c r="Z67" s="16"/>
      <c r="AA67" s="16"/>
      <c r="AB67" s="51">
        <f>869.29</f>
        <v>869.29</v>
      </c>
      <c r="AC67" s="51"/>
    </row>
    <row r="68" spans="1:29" s="1" customFormat="1" ht="13.5" customHeight="1">
      <c r="A68" s="13" t="s">
        <v>120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87</v>
      </c>
      <c r="M68" s="14"/>
      <c r="N68" s="14"/>
      <c r="O68" s="14" t="s">
        <v>130</v>
      </c>
      <c r="P68" s="14"/>
      <c r="Q68" s="14"/>
      <c r="R68" s="22" t="s">
        <v>121</v>
      </c>
      <c r="S68" s="22"/>
      <c r="T68" s="16">
        <f>12000</f>
        <v>12000</v>
      </c>
      <c r="U68" s="16"/>
      <c r="V68" s="16"/>
      <c r="W68" s="20" t="s">
        <v>47</v>
      </c>
      <c r="X68" s="20"/>
      <c r="Y68" s="20"/>
      <c r="Z68" s="20"/>
      <c r="AA68" s="20"/>
      <c r="AB68" s="51">
        <f>12000</f>
        <v>12000</v>
      </c>
      <c r="AC68" s="51"/>
    </row>
    <row r="69" spans="1:29" s="1" customFormat="1" ht="13.5" customHeight="1">
      <c r="A69" s="13" t="s">
        <v>102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87</v>
      </c>
      <c r="M69" s="14"/>
      <c r="N69" s="14"/>
      <c r="O69" s="14" t="s">
        <v>130</v>
      </c>
      <c r="P69" s="14"/>
      <c r="Q69" s="14"/>
      <c r="R69" s="22" t="s">
        <v>103</v>
      </c>
      <c r="S69" s="22"/>
      <c r="T69" s="16">
        <f>142500</f>
        <v>142500</v>
      </c>
      <c r="U69" s="16"/>
      <c r="V69" s="16"/>
      <c r="W69" s="20" t="s">
        <v>47</v>
      </c>
      <c r="X69" s="20"/>
      <c r="Y69" s="20"/>
      <c r="Z69" s="20"/>
      <c r="AA69" s="20"/>
      <c r="AB69" s="51">
        <f>142500</f>
        <v>142500</v>
      </c>
      <c r="AC69" s="51"/>
    </row>
    <row r="70" spans="1:29" s="1" customFormat="1" ht="13.5" customHeight="1">
      <c r="A70" s="13" t="s">
        <v>106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87</v>
      </c>
      <c r="M70" s="14"/>
      <c r="N70" s="14"/>
      <c r="O70" s="14" t="s">
        <v>130</v>
      </c>
      <c r="P70" s="14"/>
      <c r="Q70" s="14"/>
      <c r="R70" s="22" t="s">
        <v>107</v>
      </c>
      <c r="S70" s="22"/>
      <c r="T70" s="16">
        <f>10000</f>
        <v>10000</v>
      </c>
      <c r="U70" s="16"/>
      <c r="V70" s="16"/>
      <c r="W70" s="20" t="s">
        <v>47</v>
      </c>
      <c r="X70" s="20"/>
      <c r="Y70" s="20"/>
      <c r="Z70" s="20"/>
      <c r="AA70" s="20"/>
      <c r="AB70" s="51">
        <f>10000</f>
        <v>10000</v>
      </c>
      <c r="AC70" s="51"/>
    </row>
    <row r="71" spans="1:29" s="1" customFormat="1" ht="13.5" customHeight="1">
      <c r="A71" s="13" t="s">
        <v>102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87</v>
      </c>
      <c r="M71" s="14"/>
      <c r="N71" s="14"/>
      <c r="O71" s="14" t="s">
        <v>131</v>
      </c>
      <c r="P71" s="14"/>
      <c r="Q71" s="14"/>
      <c r="R71" s="22" t="s">
        <v>103</v>
      </c>
      <c r="S71" s="22"/>
      <c r="T71" s="16">
        <f>1800</f>
        <v>1800</v>
      </c>
      <c r="U71" s="16"/>
      <c r="V71" s="16"/>
      <c r="W71" s="20" t="s">
        <v>47</v>
      </c>
      <c r="X71" s="20"/>
      <c r="Y71" s="20"/>
      <c r="Z71" s="20"/>
      <c r="AA71" s="20"/>
      <c r="AB71" s="51">
        <f>1800</f>
        <v>1800</v>
      </c>
      <c r="AC71" s="51"/>
    </row>
    <row r="72" spans="1:29" s="1" customFormat="1" ht="13.5" customHeight="1">
      <c r="A72" s="13" t="s">
        <v>106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87</v>
      </c>
      <c r="M72" s="14"/>
      <c r="N72" s="14"/>
      <c r="O72" s="14" t="s">
        <v>131</v>
      </c>
      <c r="P72" s="14"/>
      <c r="Q72" s="14"/>
      <c r="R72" s="22" t="s">
        <v>107</v>
      </c>
      <c r="S72" s="22"/>
      <c r="T72" s="16">
        <f>3000</f>
        <v>3000</v>
      </c>
      <c r="U72" s="16"/>
      <c r="V72" s="16"/>
      <c r="W72" s="20" t="s">
        <v>47</v>
      </c>
      <c r="X72" s="20"/>
      <c r="Y72" s="20"/>
      <c r="Z72" s="20"/>
      <c r="AA72" s="20"/>
      <c r="AB72" s="51">
        <f>3000</f>
        <v>3000</v>
      </c>
      <c r="AC72" s="51"/>
    </row>
    <row r="73" spans="1:29" s="1" customFormat="1" ht="13.5" customHeight="1">
      <c r="A73" s="13" t="s">
        <v>104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87</v>
      </c>
      <c r="M73" s="14"/>
      <c r="N73" s="14"/>
      <c r="O73" s="14" t="s">
        <v>132</v>
      </c>
      <c r="P73" s="14"/>
      <c r="Q73" s="14"/>
      <c r="R73" s="22" t="s">
        <v>105</v>
      </c>
      <c r="S73" s="22"/>
      <c r="T73" s="16">
        <f>12634.6</f>
        <v>12634.6</v>
      </c>
      <c r="U73" s="16"/>
      <c r="V73" s="16"/>
      <c r="W73" s="20" t="s">
        <v>47</v>
      </c>
      <c r="X73" s="20"/>
      <c r="Y73" s="20"/>
      <c r="Z73" s="20"/>
      <c r="AA73" s="20"/>
      <c r="AB73" s="51">
        <f>12634.6</f>
        <v>12634.6</v>
      </c>
      <c r="AC73" s="51"/>
    </row>
    <row r="74" spans="1:29" s="1" customFormat="1" ht="13.5" customHeight="1">
      <c r="A74" s="13" t="s">
        <v>112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87</v>
      </c>
      <c r="M74" s="14"/>
      <c r="N74" s="14"/>
      <c r="O74" s="14" t="s">
        <v>133</v>
      </c>
      <c r="P74" s="14"/>
      <c r="Q74" s="14"/>
      <c r="R74" s="22" t="s">
        <v>113</v>
      </c>
      <c r="S74" s="22"/>
      <c r="T74" s="16">
        <f>4600</f>
        <v>4600</v>
      </c>
      <c r="U74" s="16"/>
      <c r="V74" s="16"/>
      <c r="W74" s="20" t="s">
        <v>47</v>
      </c>
      <c r="X74" s="20"/>
      <c r="Y74" s="20"/>
      <c r="Z74" s="20"/>
      <c r="AA74" s="20"/>
      <c r="AB74" s="51">
        <f>4600</f>
        <v>4600</v>
      </c>
      <c r="AC74" s="51"/>
    </row>
    <row r="75" spans="1:29" s="1" customFormat="1" ht="13.5" customHeight="1">
      <c r="A75" s="13" t="s">
        <v>104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87</v>
      </c>
      <c r="M75" s="14"/>
      <c r="N75" s="14"/>
      <c r="O75" s="14" t="s">
        <v>134</v>
      </c>
      <c r="P75" s="14"/>
      <c r="Q75" s="14"/>
      <c r="R75" s="22" t="s">
        <v>105</v>
      </c>
      <c r="S75" s="22"/>
      <c r="T75" s="16">
        <f>5414.95</f>
        <v>5414.95</v>
      </c>
      <c r="U75" s="16"/>
      <c r="V75" s="16"/>
      <c r="W75" s="20" t="s">
        <v>47</v>
      </c>
      <c r="X75" s="20"/>
      <c r="Y75" s="20"/>
      <c r="Z75" s="20"/>
      <c r="AA75" s="20"/>
      <c r="AB75" s="51">
        <f>5414.95</f>
        <v>5414.95</v>
      </c>
      <c r="AC75" s="51"/>
    </row>
    <row r="76" spans="1:29" s="1" customFormat="1" ht="13.5" customHeight="1">
      <c r="A76" s="13" t="s">
        <v>120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87</v>
      </c>
      <c r="M76" s="14"/>
      <c r="N76" s="14"/>
      <c r="O76" s="14" t="s">
        <v>135</v>
      </c>
      <c r="P76" s="14"/>
      <c r="Q76" s="14"/>
      <c r="R76" s="22" t="s">
        <v>121</v>
      </c>
      <c r="S76" s="22"/>
      <c r="T76" s="16">
        <f>2090430.18</f>
        <v>2090430.18</v>
      </c>
      <c r="U76" s="16"/>
      <c r="V76" s="16"/>
      <c r="W76" s="16">
        <f>794403.78</f>
        <v>794403.78</v>
      </c>
      <c r="X76" s="16"/>
      <c r="Y76" s="16"/>
      <c r="Z76" s="16"/>
      <c r="AA76" s="16"/>
      <c r="AB76" s="51">
        <f>1296026.4</f>
        <v>1296026.4</v>
      </c>
      <c r="AC76" s="51"/>
    </row>
    <row r="77" spans="1:29" s="1" customFormat="1" ht="13.5" customHeight="1">
      <c r="A77" s="13" t="s">
        <v>102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87</v>
      </c>
      <c r="M77" s="14"/>
      <c r="N77" s="14"/>
      <c r="O77" s="14" t="s">
        <v>135</v>
      </c>
      <c r="P77" s="14"/>
      <c r="Q77" s="14"/>
      <c r="R77" s="22" t="s">
        <v>103</v>
      </c>
      <c r="S77" s="22"/>
      <c r="T77" s="16">
        <f>11000</f>
        <v>11000</v>
      </c>
      <c r="U77" s="16"/>
      <c r="V77" s="16"/>
      <c r="W77" s="20" t="s">
        <v>47</v>
      </c>
      <c r="X77" s="20"/>
      <c r="Y77" s="20"/>
      <c r="Z77" s="20"/>
      <c r="AA77" s="20"/>
      <c r="AB77" s="51">
        <f>11000</f>
        <v>11000</v>
      </c>
      <c r="AC77" s="51"/>
    </row>
    <row r="78" spans="1:29" s="1" customFormat="1" ht="13.5" customHeight="1">
      <c r="A78" s="13" t="s">
        <v>112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87</v>
      </c>
      <c r="M78" s="14"/>
      <c r="N78" s="14"/>
      <c r="O78" s="14" t="s">
        <v>135</v>
      </c>
      <c r="P78" s="14"/>
      <c r="Q78" s="14"/>
      <c r="R78" s="22" t="s">
        <v>113</v>
      </c>
      <c r="S78" s="22"/>
      <c r="T78" s="16">
        <f>100000</f>
        <v>100000</v>
      </c>
      <c r="U78" s="16"/>
      <c r="V78" s="16"/>
      <c r="W78" s="20" t="s">
        <v>47</v>
      </c>
      <c r="X78" s="20"/>
      <c r="Y78" s="20"/>
      <c r="Z78" s="20"/>
      <c r="AA78" s="20"/>
      <c r="AB78" s="51">
        <f>100000</f>
        <v>100000</v>
      </c>
      <c r="AC78" s="51"/>
    </row>
    <row r="79" spans="1:29" s="1" customFormat="1" ht="13.5" customHeight="1">
      <c r="A79" s="13" t="s">
        <v>99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87</v>
      </c>
      <c r="M79" s="14"/>
      <c r="N79" s="14"/>
      <c r="O79" s="14" t="s">
        <v>136</v>
      </c>
      <c r="P79" s="14"/>
      <c r="Q79" s="14"/>
      <c r="R79" s="22" t="s">
        <v>101</v>
      </c>
      <c r="S79" s="22"/>
      <c r="T79" s="16">
        <f>330168.54</f>
        <v>330168.54</v>
      </c>
      <c r="U79" s="16"/>
      <c r="V79" s="16"/>
      <c r="W79" s="16">
        <f>46808.58</f>
        <v>46808.58</v>
      </c>
      <c r="X79" s="16"/>
      <c r="Y79" s="16"/>
      <c r="Z79" s="16"/>
      <c r="AA79" s="16"/>
      <c r="AB79" s="51">
        <f>283359.96</f>
        <v>283359.96</v>
      </c>
      <c r="AC79" s="51"/>
    </row>
    <row r="80" spans="1:29" s="1" customFormat="1" ht="13.5" customHeight="1">
      <c r="A80" s="13" t="s">
        <v>120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87</v>
      </c>
      <c r="M80" s="14"/>
      <c r="N80" s="14"/>
      <c r="O80" s="14" t="s">
        <v>136</v>
      </c>
      <c r="P80" s="14"/>
      <c r="Q80" s="14"/>
      <c r="R80" s="22" t="s">
        <v>121</v>
      </c>
      <c r="S80" s="22"/>
      <c r="T80" s="16">
        <f>180000</f>
        <v>180000</v>
      </c>
      <c r="U80" s="16"/>
      <c r="V80" s="16"/>
      <c r="W80" s="16">
        <f>35593.32</f>
        <v>35593.32</v>
      </c>
      <c r="X80" s="16"/>
      <c r="Y80" s="16"/>
      <c r="Z80" s="16"/>
      <c r="AA80" s="16"/>
      <c r="AB80" s="51">
        <f>144406.68</f>
        <v>144406.68</v>
      </c>
      <c r="AC80" s="51"/>
    </row>
    <row r="81" spans="1:29" s="1" customFormat="1" ht="13.5" customHeight="1">
      <c r="A81" s="13" t="s">
        <v>102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87</v>
      </c>
      <c r="M81" s="14"/>
      <c r="N81" s="14"/>
      <c r="O81" s="14" t="s">
        <v>136</v>
      </c>
      <c r="P81" s="14"/>
      <c r="Q81" s="14"/>
      <c r="R81" s="22" t="s">
        <v>103</v>
      </c>
      <c r="S81" s="22"/>
      <c r="T81" s="16">
        <f>820000</f>
        <v>820000</v>
      </c>
      <c r="U81" s="16"/>
      <c r="V81" s="16"/>
      <c r="W81" s="16">
        <f>103905.07</f>
        <v>103905.07</v>
      </c>
      <c r="X81" s="16"/>
      <c r="Y81" s="16"/>
      <c r="Z81" s="16"/>
      <c r="AA81" s="16"/>
      <c r="AB81" s="51">
        <f>716094.93</f>
        <v>716094.93</v>
      </c>
      <c r="AC81" s="51"/>
    </row>
    <row r="82" spans="1:29" s="1" customFormat="1" ht="13.5" customHeight="1">
      <c r="A82" s="13" t="s">
        <v>112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87</v>
      </c>
      <c r="M82" s="14"/>
      <c r="N82" s="14"/>
      <c r="O82" s="14" t="s">
        <v>136</v>
      </c>
      <c r="P82" s="14"/>
      <c r="Q82" s="14"/>
      <c r="R82" s="22" t="s">
        <v>113</v>
      </c>
      <c r="S82" s="22"/>
      <c r="T82" s="16">
        <f>52000</f>
        <v>52000</v>
      </c>
      <c r="U82" s="16"/>
      <c r="V82" s="16"/>
      <c r="W82" s="20" t="s">
        <v>47</v>
      </c>
      <c r="X82" s="20"/>
      <c r="Y82" s="20"/>
      <c r="Z82" s="20"/>
      <c r="AA82" s="20"/>
      <c r="AB82" s="51">
        <f>52000</f>
        <v>52000</v>
      </c>
      <c r="AC82" s="51"/>
    </row>
    <row r="83" spans="1:29" s="1" customFormat="1" ht="13.5" customHeight="1">
      <c r="A83" s="13" t="s">
        <v>106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87</v>
      </c>
      <c r="M83" s="14"/>
      <c r="N83" s="14"/>
      <c r="O83" s="14" t="s">
        <v>136</v>
      </c>
      <c r="P83" s="14"/>
      <c r="Q83" s="14"/>
      <c r="R83" s="22" t="s">
        <v>107</v>
      </c>
      <c r="S83" s="22"/>
      <c r="T83" s="16">
        <f>70000</f>
        <v>70000</v>
      </c>
      <c r="U83" s="16"/>
      <c r="V83" s="16"/>
      <c r="W83" s="20" t="s">
        <v>47</v>
      </c>
      <c r="X83" s="20"/>
      <c r="Y83" s="20"/>
      <c r="Z83" s="20"/>
      <c r="AA83" s="20"/>
      <c r="AB83" s="51">
        <f>70000</f>
        <v>70000</v>
      </c>
      <c r="AC83" s="51"/>
    </row>
    <row r="84" spans="1:29" s="1" customFormat="1" ht="13.5" customHeight="1">
      <c r="A84" s="13" t="s">
        <v>117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87</v>
      </c>
      <c r="M84" s="14"/>
      <c r="N84" s="14"/>
      <c r="O84" s="14" t="s">
        <v>137</v>
      </c>
      <c r="P84" s="14"/>
      <c r="Q84" s="14"/>
      <c r="R84" s="22" t="s">
        <v>119</v>
      </c>
      <c r="S84" s="22"/>
      <c r="T84" s="16">
        <f>455446.52</f>
        <v>455446.52</v>
      </c>
      <c r="U84" s="16"/>
      <c r="V84" s="16"/>
      <c r="W84" s="16">
        <f>66453.45</f>
        <v>66453.45</v>
      </c>
      <c r="X84" s="16"/>
      <c r="Y84" s="16"/>
      <c r="Z84" s="16"/>
      <c r="AA84" s="16"/>
      <c r="AB84" s="51">
        <f>388993.07</f>
        <v>388993.07</v>
      </c>
      <c r="AC84" s="51"/>
    </row>
    <row r="85" spans="1:29" s="1" customFormat="1" ht="13.5" customHeight="1">
      <c r="A85" s="13" t="s">
        <v>120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87</v>
      </c>
      <c r="M85" s="14"/>
      <c r="N85" s="14"/>
      <c r="O85" s="14" t="s">
        <v>137</v>
      </c>
      <c r="P85" s="14"/>
      <c r="Q85" s="14"/>
      <c r="R85" s="22" t="s">
        <v>121</v>
      </c>
      <c r="S85" s="22"/>
      <c r="T85" s="16">
        <f>906570.56</f>
        <v>906570.56</v>
      </c>
      <c r="U85" s="16"/>
      <c r="V85" s="16"/>
      <c r="W85" s="16">
        <f>83491.8</f>
        <v>83491.8</v>
      </c>
      <c r="X85" s="16"/>
      <c r="Y85" s="16"/>
      <c r="Z85" s="16"/>
      <c r="AA85" s="16"/>
      <c r="AB85" s="51">
        <f>823078.76</f>
        <v>823078.76</v>
      </c>
      <c r="AC85" s="51"/>
    </row>
    <row r="86" spans="1:29" s="1" customFormat="1" ht="13.5" customHeight="1">
      <c r="A86" s="13" t="s">
        <v>102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87</v>
      </c>
      <c r="M86" s="14"/>
      <c r="N86" s="14"/>
      <c r="O86" s="14" t="s">
        <v>137</v>
      </c>
      <c r="P86" s="14"/>
      <c r="Q86" s="14"/>
      <c r="R86" s="22" t="s">
        <v>103</v>
      </c>
      <c r="S86" s="22"/>
      <c r="T86" s="16">
        <f>5000</f>
        <v>5000</v>
      </c>
      <c r="U86" s="16"/>
      <c r="V86" s="16"/>
      <c r="W86" s="20" t="s">
        <v>47</v>
      </c>
      <c r="X86" s="20"/>
      <c r="Y86" s="20"/>
      <c r="Z86" s="20"/>
      <c r="AA86" s="20"/>
      <c r="AB86" s="51">
        <f>5000</f>
        <v>5000</v>
      </c>
      <c r="AC86" s="51"/>
    </row>
    <row r="87" spans="1:29" s="1" customFormat="1" ht="13.5" customHeight="1">
      <c r="A87" s="13" t="s">
        <v>120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87</v>
      </c>
      <c r="M87" s="14"/>
      <c r="N87" s="14"/>
      <c r="O87" s="14" t="s">
        <v>138</v>
      </c>
      <c r="P87" s="14"/>
      <c r="Q87" s="14"/>
      <c r="R87" s="22" t="s">
        <v>121</v>
      </c>
      <c r="S87" s="22"/>
      <c r="T87" s="16">
        <f>1134869</f>
        <v>1134869</v>
      </c>
      <c r="U87" s="16"/>
      <c r="V87" s="16"/>
      <c r="W87" s="20" t="s">
        <v>47</v>
      </c>
      <c r="X87" s="20"/>
      <c r="Y87" s="20"/>
      <c r="Z87" s="20"/>
      <c r="AA87" s="20"/>
      <c r="AB87" s="51">
        <f>1134869</f>
        <v>1134869</v>
      </c>
      <c r="AC87" s="51"/>
    </row>
    <row r="88" spans="1:29" s="1" customFormat="1" ht="13.5" customHeight="1">
      <c r="A88" s="13" t="s">
        <v>102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87</v>
      </c>
      <c r="M88" s="14"/>
      <c r="N88" s="14"/>
      <c r="O88" s="14" t="s">
        <v>138</v>
      </c>
      <c r="P88" s="14"/>
      <c r="Q88" s="14"/>
      <c r="R88" s="22" t="s">
        <v>103</v>
      </c>
      <c r="S88" s="22"/>
      <c r="T88" s="16">
        <f>8000</f>
        <v>8000</v>
      </c>
      <c r="U88" s="16"/>
      <c r="V88" s="16"/>
      <c r="W88" s="20" t="s">
        <v>47</v>
      </c>
      <c r="X88" s="20"/>
      <c r="Y88" s="20"/>
      <c r="Z88" s="20"/>
      <c r="AA88" s="20"/>
      <c r="AB88" s="51">
        <f>8000</f>
        <v>8000</v>
      </c>
      <c r="AC88" s="51"/>
    </row>
    <row r="89" spans="1:29" s="1" customFormat="1" ht="13.5" customHeight="1">
      <c r="A89" s="13" t="s">
        <v>112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87</v>
      </c>
      <c r="M89" s="14"/>
      <c r="N89" s="14"/>
      <c r="O89" s="14" t="s">
        <v>138</v>
      </c>
      <c r="P89" s="14"/>
      <c r="Q89" s="14"/>
      <c r="R89" s="22" t="s">
        <v>113</v>
      </c>
      <c r="S89" s="22"/>
      <c r="T89" s="16">
        <f>590702</f>
        <v>590702</v>
      </c>
      <c r="U89" s="16"/>
      <c r="V89" s="16"/>
      <c r="W89" s="20" t="s">
        <v>47</v>
      </c>
      <c r="X89" s="20"/>
      <c r="Y89" s="20"/>
      <c r="Z89" s="20"/>
      <c r="AA89" s="20"/>
      <c r="AB89" s="51">
        <f>590702</f>
        <v>590702</v>
      </c>
      <c r="AC89" s="51"/>
    </row>
    <row r="90" spans="1:29" s="1" customFormat="1" ht="13.5" customHeight="1">
      <c r="A90" s="13" t="s">
        <v>120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87</v>
      </c>
      <c r="M90" s="14"/>
      <c r="N90" s="14"/>
      <c r="O90" s="14" t="s">
        <v>139</v>
      </c>
      <c r="P90" s="14"/>
      <c r="Q90" s="14"/>
      <c r="R90" s="22" t="s">
        <v>121</v>
      </c>
      <c r="S90" s="22"/>
      <c r="T90" s="16">
        <f>758324.24</f>
        <v>758324.24</v>
      </c>
      <c r="U90" s="16"/>
      <c r="V90" s="16"/>
      <c r="W90" s="20" t="s">
        <v>47</v>
      </c>
      <c r="X90" s="20"/>
      <c r="Y90" s="20"/>
      <c r="Z90" s="20"/>
      <c r="AA90" s="20"/>
      <c r="AB90" s="51">
        <f>758324.24</f>
        <v>758324.24</v>
      </c>
      <c r="AC90" s="51"/>
    </row>
    <row r="91" spans="1:29" s="1" customFormat="1" ht="13.5" customHeight="1">
      <c r="A91" s="13" t="s">
        <v>112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87</v>
      </c>
      <c r="M91" s="14"/>
      <c r="N91" s="14"/>
      <c r="O91" s="14" t="s">
        <v>139</v>
      </c>
      <c r="P91" s="14"/>
      <c r="Q91" s="14"/>
      <c r="R91" s="22" t="s">
        <v>113</v>
      </c>
      <c r="S91" s="22"/>
      <c r="T91" s="16">
        <f>441715.76</f>
        <v>441715.76</v>
      </c>
      <c r="U91" s="16"/>
      <c r="V91" s="16"/>
      <c r="W91" s="20" t="s">
        <v>47</v>
      </c>
      <c r="X91" s="20"/>
      <c r="Y91" s="20"/>
      <c r="Z91" s="20"/>
      <c r="AA91" s="20"/>
      <c r="AB91" s="51">
        <f>441715.76</f>
        <v>441715.76</v>
      </c>
      <c r="AC91" s="51"/>
    </row>
    <row r="92" spans="1:29" s="1" customFormat="1" ht="13.5" customHeight="1">
      <c r="A92" s="13" t="s">
        <v>120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87</v>
      </c>
      <c r="M92" s="14"/>
      <c r="N92" s="14"/>
      <c r="O92" s="14" t="s">
        <v>140</v>
      </c>
      <c r="P92" s="14"/>
      <c r="Q92" s="14"/>
      <c r="R92" s="22" t="s">
        <v>121</v>
      </c>
      <c r="S92" s="22"/>
      <c r="T92" s="16">
        <f>76180.43</f>
        <v>76180.43</v>
      </c>
      <c r="U92" s="16"/>
      <c r="V92" s="16"/>
      <c r="W92" s="16">
        <f>19045</f>
        <v>19045</v>
      </c>
      <c r="X92" s="16"/>
      <c r="Y92" s="16"/>
      <c r="Z92" s="16"/>
      <c r="AA92" s="16"/>
      <c r="AB92" s="51">
        <f>57135.43</f>
        <v>57135.43</v>
      </c>
      <c r="AC92" s="51"/>
    </row>
    <row r="93" spans="1:29" s="1" customFormat="1" ht="13.5" customHeight="1">
      <c r="A93" s="13" t="s">
        <v>112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87</v>
      </c>
      <c r="M93" s="14"/>
      <c r="N93" s="14"/>
      <c r="O93" s="14" t="s">
        <v>141</v>
      </c>
      <c r="P93" s="14"/>
      <c r="Q93" s="14"/>
      <c r="R93" s="22" t="s">
        <v>113</v>
      </c>
      <c r="S93" s="22"/>
      <c r="T93" s="16">
        <f>965746.96</f>
        <v>965746.96</v>
      </c>
      <c r="U93" s="16"/>
      <c r="V93" s="16"/>
      <c r="W93" s="20" t="s">
        <v>47</v>
      </c>
      <c r="X93" s="20"/>
      <c r="Y93" s="20"/>
      <c r="Z93" s="20"/>
      <c r="AA93" s="20"/>
      <c r="AB93" s="51">
        <f>965746.96</f>
        <v>965746.96</v>
      </c>
      <c r="AC93" s="51"/>
    </row>
    <row r="94" spans="1:29" s="1" customFormat="1" ht="13.5" customHeight="1">
      <c r="A94" s="13" t="s">
        <v>106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87</v>
      </c>
      <c r="M94" s="14"/>
      <c r="N94" s="14"/>
      <c r="O94" s="14" t="s">
        <v>141</v>
      </c>
      <c r="P94" s="14"/>
      <c r="Q94" s="14"/>
      <c r="R94" s="22" t="s">
        <v>107</v>
      </c>
      <c r="S94" s="22"/>
      <c r="T94" s="16">
        <f>5496.96</f>
        <v>5496.96</v>
      </c>
      <c r="U94" s="16"/>
      <c r="V94" s="16"/>
      <c r="W94" s="20" t="s">
        <v>47</v>
      </c>
      <c r="X94" s="20"/>
      <c r="Y94" s="20"/>
      <c r="Z94" s="20"/>
      <c r="AA94" s="20"/>
      <c r="AB94" s="51">
        <f>5496.96</f>
        <v>5496.96</v>
      </c>
      <c r="AC94" s="51"/>
    </row>
    <row r="95" spans="1:29" s="1" customFormat="1" ht="13.5" customHeight="1">
      <c r="A95" s="13" t="s">
        <v>120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87</v>
      </c>
      <c r="M95" s="14"/>
      <c r="N95" s="14"/>
      <c r="O95" s="14" t="s">
        <v>142</v>
      </c>
      <c r="P95" s="14"/>
      <c r="Q95" s="14"/>
      <c r="R95" s="22" t="s">
        <v>121</v>
      </c>
      <c r="S95" s="22"/>
      <c r="T95" s="16">
        <f>669.22</f>
        <v>669.22</v>
      </c>
      <c r="U95" s="16"/>
      <c r="V95" s="16"/>
      <c r="W95" s="20" t="s">
        <v>47</v>
      </c>
      <c r="X95" s="20"/>
      <c r="Y95" s="20"/>
      <c r="Z95" s="20"/>
      <c r="AA95" s="20"/>
      <c r="AB95" s="51">
        <f>669.22</f>
        <v>669.22</v>
      </c>
      <c r="AC95" s="51"/>
    </row>
    <row r="96" spans="1:29" s="1" customFormat="1" ht="13.5" customHeight="1">
      <c r="A96" s="13" t="s">
        <v>112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87</v>
      </c>
      <c r="M96" s="14"/>
      <c r="N96" s="14"/>
      <c r="O96" s="14" t="s">
        <v>142</v>
      </c>
      <c r="P96" s="14"/>
      <c r="Q96" s="14"/>
      <c r="R96" s="22" t="s">
        <v>113</v>
      </c>
      <c r="S96" s="22"/>
      <c r="T96" s="16">
        <f>4461.78</f>
        <v>4461.78</v>
      </c>
      <c r="U96" s="16"/>
      <c r="V96" s="16"/>
      <c r="W96" s="20" t="s">
        <v>47</v>
      </c>
      <c r="X96" s="20"/>
      <c r="Y96" s="20"/>
      <c r="Z96" s="20"/>
      <c r="AA96" s="20"/>
      <c r="AB96" s="51">
        <f>4461.78</f>
        <v>4461.78</v>
      </c>
      <c r="AC96" s="51"/>
    </row>
    <row r="97" spans="1:29" s="1" customFormat="1" ht="13.5" customHeight="1">
      <c r="A97" s="13" t="s">
        <v>123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87</v>
      </c>
      <c r="M97" s="14"/>
      <c r="N97" s="14"/>
      <c r="O97" s="14" t="s">
        <v>143</v>
      </c>
      <c r="P97" s="14"/>
      <c r="Q97" s="14"/>
      <c r="R97" s="22" t="s">
        <v>125</v>
      </c>
      <c r="S97" s="22"/>
      <c r="T97" s="16">
        <f>63000</f>
        <v>63000</v>
      </c>
      <c r="U97" s="16"/>
      <c r="V97" s="16"/>
      <c r="W97" s="20" t="s">
        <v>47</v>
      </c>
      <c r="X97" s="20"/>
      <c r="Y97" s="20"/>
      <c r="Z97" s="20"/>
      <c r="AA97" s="20"/>
      <c r="AB97" s="51">
        <f>63000</f>
        <v>63000</v>
      </c>
      <c r="AC97" s="51"/>
    </row>
    <row r="98" spans="1:29" s="1" customFormat="1" ht="13.5" customHeight="1">
      <c r="A98" s="13" t="s">
        <v>104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87</v>
      </c>
      <c r="M98" s="14"/>
      <c r="N98" s="14"/>
      <c r="O98" s="14" t="s">
        <v>143</v>
      </c>
      <c r="P98" s="14"/>
      <c r="Q98" s="14"/>
      <c r="R98" s="22" t="s">
        <v>105</v>
      </c>
      <c r="S98" s="22"/>
      <c r="T98" s="16">
        <f>52000</f>
        <v>52000</v>
      </c>
      <c r="U98" s="16"/>
      <c r="V98" s="16"/>
      <c r="W98" s="16">
        <f>15000</f>
        <v>15000</v>
      </c>
      <c r="X98" s="16"/>
      <c r="Y98" s="16"/>
      <c r="Z98" s="16"/>
      <c r="AA98" s="16"/>
      <c r="AB98" s="51">
        <f>37000</f>
        <v>37000</v>
      </c>
      <c r="AC98" s="51"/>
    </row>
    <row r="99" spans="1:29" s="1" customFormat="1" ht="13.5" customHeight="1">
      <c r="A99" s="13" t="s">
        <v>106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87</v>
      </c>
      <c r="M99" s="14"/>
      <c r="N99" s="14"/>
      <c r="O99" s="14" t="s">
        <v>143</v>
      </c>
      <c r="P99" s="14"/>
      <c r="Q99" s="14"/>
      <c r="R99" s="22" t="s">
        <v>107</v>
      </c>
      <c r="S99" s="22"/>
      <c r="T99" s="16">
        <f>47100</f>
        <v>47100</v>
      </c>
      <c r="U99" s="16"/>
      <c r="V99" s="16"/>
      <c r="W99" s="16">
        <f>14100</f>
        <v>14100</v>
      </c>
      <c r="X99" s="16"/>
      <c r="Y99" s="16"/>
      <c r="Z99" s="16"/>
      <c r="AA99" s="16"/>
      <c r="AB99" s="51">
        <f>33000</f>
        <v>33000</v>
      </c>
      <c r="AC99" s="51"/>
    </row>
    <row r="100" spans="1:29" s="1" customFormat="1" ht="24" customHeight="1">
      <c r="A100" s="13" t="s">
        <v>144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87</v>
      </c>
      <c r="M100" s="14"/>
      <c r="N100" s="14"/>
      <c r="O100" s="14" t="s">
        <v>145</v>
      </c>
      <c r="P100" s="14"/>
      <c r="Q100" s="14"/>
      <c r="R100" s="22" t="s">
        <v>146</v>
      </c>
      <c r="S100" s="22"/>
      <c r="T100" s="16">
        <f>12661917.27</f>
        <v>12661917.27</v>
      </c>
      <c r="U100" s="16"/>
      <c r="V100" s="16"/>
      <c r="W100" s="16">
        <f>2555984.47</f>
        <v>2555984.47</v>
      </c>
      <c r="X100" s="16"/>
      <c r="Y100" s="16"/>
      <c r="Z100" s="16"/>
      <c r="AA100" s="16"/>
      <c r="AB100" s="51">
        <f>10105932.8</f>
        <v>10105932.8</v>
      </c>
      <c r="AC100" s="51"/>
    </row>
    <row r="101" spans="1:29" s="1" customFormat="1" ht="24" customHeight="1">
      <c r="A101" s="13" t="s">
        <v>144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87</v>
      </c>
      <c r="M101" s="14"/>
      <c r="N101" s="14"/>
      <c r="O101" s="14" t="s">
        <v>147</v>
      </c>
      <c r="P101" s="14"/>
      <c r="Q101" s="14"/>
      <c r="R101" s="22" t="s">
        <v>146</v>
      </c>
      <c r="S101" s="22"/>
      <c r="T101" s="16">
        <f>15000</f>
        <v>15000</v>
      </c>
      <c r="U101" s="16"/>
      <c r="V101" s="16"/>
      <c r="W101" s="20" t="s">
        <v>47</v>
      </c>
      <c r="X101" s="20"/>
      <c r="Y101" s="20"/>
      <c r="Z101" s="20"/>
      <c r="AA101" s="20"/>
      <c r="AB101" s="51">
        <f>15000</f>
        <v>15000</v>
      </c>
      <c r="AC101" s="51"/>
    </row>
    <row r="102" spans="1:29" s="1" customFormat="1" ht="24" customHeight="1">
      <c r="A102" s="13" t="s">
        <v>148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87</v>
      </c>
      <c r="M102" s="14"/>
      <c r="N102" s="14"/>
      <c r="O102" s="14" t="s">
        <v>149</v>
      </c>
      <c r="P102" s="14"/>
      <c r="Q102" s="14"/>
      <c r="R102" s="22" t="s">
        <v>150</v>
      </c>
      <c r="S102" s="22"/>
      <c r="T102" s="16">
        <f>300000</f>
        <v>300000</v>
      </c>
      <c r="U102" s="16"/>
      <c r="V102" s="16"/>
      <c r="W102" s="16">
        <f>75000</f>
        <v>75000</v>
      </c>
      <c r="X102" s="16"/>
      <c r="Y102" s="16"/>
      <c r="Z102" s="16"/>
      <c r="AA102" s="16"/>
      <c r="AB102" s="51">
        <f>225000</f>
        <v>225000</v>
      </c>
      <c r="AC102" s="51"/>
    </row>
    <row r="103" spans="1:29" s="1" customFormat="1" ht="13.5" customHeight="1">
      <c r="A103" s="13" t="s">
        <v>151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87</v>
      </c>
      <c r="M103" s="14"/>
      <c r="N103" s="14"/>
      <c r="O103" s="14" t="s">
        <v>152</v>
      </c>
      <c r="P103" s="14"/>
      <c r="Q103" s="14"/>
      <c r="R103" s="22" t="s">
        <v>153</v>
      </c>
      <c r="S103" s="22"/>
      <c r="T103" s="16">
        <f>40000</f>
        <v>40000</v>
      </c>
      <c r="U103" s="16"/>
      <c r="V103" s="16"/>
      <c r="W103" s="20" t="s">
        <v>47</v>
      </c>
      <c r="X103" s="20"/>
      <c r="Y103" s="20"/>
      <c r="Z103" s="20"/>
      <c r="AA103" s="20"/>
      <c r="AB103" s="51">
        <f>40000</f>
        <v>40000</v>
      </c>
      <c r="AC103" s="51"/>
    </row>
    <row r="104" spans="1:29" s="1" customFormat="1" ht="13.5" customHeight="1">
      <c r="A104" s="13" t="s">
        <v>88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87</v>
      </c>
      <c r="M104" s="14"/>
      <c r="N104" s="14"/>
      <c r="O104" s="14" t="s">
        <v>154</v>
      </c>
      <c r="P104" s="14"/>
      <c r="Q104" s="14"/>
      <c r="R104" s="22" t="s">
        <v>90</v>
      </c>
      <c r="S104" s="22"/>
      <c r="T104" s="16">
        <f>3315796.81</f>
        <v>3315796.81</v>
      </c>
      <c r="U104" s="16"/>
      <c r="V104" s="16"/>
      <c r="W104" s="16">
        <f>606993.06</f>
        <v>606993.06</v>
      </c>
      <c r="X104" s="16"/>
      <c r="Y104" s="16"/>
      <c r="Z104" s="16"/>
      <c r="AA104" s="16"/>
      <c r="AB104" s="51">
        <f>2708803.75</f>
        <v>2708803.75</v>
      </c>
      <c r="AC104" s="51"/>
    </row>
    <row r="105" spans="1:29" s="1" customFormat="1" ht="13.5" customHeight="1">
      <c r="A105" s="13" t="s">
        <v>95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87</v>
      </c>
      <c r="M105" s="14"/>
      <c r="N105" s="14"/>
      <c r="O105" s="14" t="s">
        <v>155</v>
      </c>
      <c r="P105" s="14"/>
      <c r="Q105" s="14"/>
      <c r="R105" s="22" t="s">
        <v>97</v>
      </c>
      <c r="S105" s="22"/>
      <c r="T105" s="16">
        <f>172800</f>
        <v>172800</v>
      </c>
      <c r="U105" s="16"/>
      <c r="V105" s="16"/>
      <c r="W105" s="20" t="s">
        <v>47</v>
      </c>
      <c r="X105" s="20"/>
      <c r="Y105" s="20"/>
      <c r="Z105" s="20"/>
      <c r="AA105" s="20"/>
      <c r="AB105" s="51">
        <f>172800</f>
        <v>172800</v>
      </c>
      <c r="AC105" s="51"/>
    </row>
    <row r="106" spans="1:29" s="1" customFormat="1" ht="13.5" customHeight="1">
      <c r="A106" s="13" t="s">
        <v>91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87</v>
      </c>
      <c r="M106" s="14"/>
      <c r="N106" s="14"/>
      <c r="O106" s="14" t="s">
        <v>156</v>
      </c>
      <c r="P106" s="14"/>
      <c r="Q106" s="14"/>
      <c r="R106" s="22" t="s">
        <v>93</v>
      </c>
      <c r="S106" s="22"/>
      <c r="T106" s="16">
        <f>990841.3</f>
        <v>990841.3</v>
      </c>
      <c r="U106" s="16"/>
      <c r="V106" s="16"/>
      <c r="W106" s="16">
        <f>173268.67</f>
        <v>173268.67</v>
      </c>
      <c r="X106" s="16"/>
      <c r="Y106" s="16"/>
      <c r="Z106" s="16"/>
      <c r="AA106" s="16"/>
      <c r="AB106" s="51">
        <f>817572.63</f>
        <v>817572.63</v>
      </c>
      <c r="AC106" s="51"/>
    </row>
    <row r="107" spans="1:29" s="1" customFormat="1" ht="13.5" customHeight="1">
      <c r="A107" s="13" t="s">
        <v>99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87</v>
      </c>
      <c r="M107" s="14"/>
      <c r="N107" s="14"/>
      <c r="O107" s="14" t="s">
        <v>157</v>
      </c>
      <c r="P107" s="14"/>
      <c r="Q107" s="14"/>
      <c r="R107" s="22" t="s">
        <v>101</v>
      </c>
      <c r="S107" s="22"/>
      <c r="T107" s="16">
        <f>49852.52</f>
        <v>49852.52</v>
      </c>
      <c r="U107" s="16"/>
      <c r="V107" s="16"/>
      <c r="W107" s="16">
        <f>6096.53</f>
        <v>6096.53</v>
      </c>
      <c r="X107" s="16"/>
      <c r="Y107" s="16"/>
      <c r="Z107" s="16"/>
      <c r="AA107" s="16"/>
      <c r="AB107" s="51">
        <f>43755.99</f>
        <v>43755.99</v>
      </c>
      <c r="AC107" s="51"/>
    </row>
    <row r="108" spans="1:29" s="1" customFormat="1" ht="13.5" customHeight="1">
      <c r="A108" s="13" t="s">
        <v>123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87</v>
      </c>
      <c r="M108" s="14"/>
      <c r="N108" s="14"/>
      <c r="O108" s="14" t="s">
        <v>157</v>
      </c>
      <c r="P108" s="14"/>
      <c r="Q108" s="14"/>
      <c r="R108" s="22" t="s">
        <v>125</v>
      </c>
      <c r="S108" s="22"/>
      <c r="T108" s="16">
        <f>136000</f>
        <v>136000</v>
      </c>
      <c r="U108" s="16"/>
      <c r="V108" s="16"/>
      <c r="W108" s="16">
        <f>36000</f>
        <v>36000</v>
      </c>
      <c r="X108" s="16"/>
      <c r="Y108" s="16"/>
      <c r="Z108" s="16"/>
      <c r="AA108" s="16"/>
      <c r="AB108" s="51">
        <f>100000</f>
        <v>100000</v>
      </c>
      <c r="AC108" s="51"/>
    </row>
    <row r="109" spans="1:29" s="1" customFormat="1" ht="13.5" customHeight="1">
      <c r="A109" s="13" t="s">
        <v>117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87</v>
      </c>
      <c r="M109" s="14"/>
      <c r="N109" s="14"/>
      <c r="O109" s="14" t="s">
        <v>157</v>
      </c>
      <c r="P109" s="14"/>
      <c r="Q109" s="14"/>
      <c r="R109" s="22" t="s">
        <v>119</v>
      </c>
      <c r="S109" s="22"/>
      <c r="T109" s="16">
        <f>728840.98</f>
        <v>728840.98</v>
      </c>
      <c r="U109" s="16"/>
      <c r="V109" s="16"/>
      <c r="W109" s="16">
        <f>205943.76</f>
        <v>205943.76</v>
      </c>
      <c r="X109" s="16"/>
      <c r="Y109" s="16"/>
      <c r="Z109" s="16"/>
      <c r="AA109" s="16"/>
      <c r="AB109" s="51">
        <f>522897.22</f>
        <v>522897.22</v>
      </c>
      <c r="AC109" s="51"/>
    </row>
    <row r="110" spans="1:29" s="1" customFormat="1" ht="13.5" customHeight="1">
      <c r="A110" s="13" t="s">
        <v>120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87</v>
      </c>
      <c r="M110" s="14"/>
      <c r="N110" s="14"/>
      <c r="O110" s="14" t="s">
        <v>157</v>
      </c>
      <c r="P110" s="14"/>
      <c r="Q110" s="14"/>
      <c r="R110" s="22" t="s">
        <v>121</v>
      </c>
      <c r="S110" s="22"/>
      <c r="T110" s="16">
        <f>252780.66</f>
        <v>252780.66</v>
      </c>
      <c r="U110" s="16"/>
      <c r="V110" s="16"/>
      <c r="W110" s="16">
        <f>41963.9</f>
        <v>41963.9</v>
      </c>
      <c r="X110" s="16"/>
      <c r="Y110" s="16"/>
      <c r="Z110" s="16"/>
      <c r="AA110" s="16"/>
      <c r="AB110" s="51">
        <f>210816.76</f>
        <v>210816.76</v>
      </c>
      <c r="AC110" s="51"/>
    </row>
    <row r="111" spans="1:29" s="1" customFormat="1" ht="13.5" customHeight="1">
      <c r="A111" s="13" t="s">
        <v>102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87</v>
      </c>
      <c r="M111" s="14"/>
      <c r="N111" s="14"/>
      <c r="O111" s="14" t="s">
        <v>157</v>
      </c>
      <c r="P111" s="14"/>
      <c r="Q111" s="14"/>
      <c r="R111" s="22" t="s">
        <v>103</v>
      </c>
      <c r="S111" s="22"/>
      <c r="T111" s="16">
        <f>188922.4</f>
        <v>188922.4</v>
      </c>
      <c r="U111" s="16"/>
      <c r="V111" s="16"/>
      <c r="W111" s="16">
        <f>7780</f>
        <v>7780</v>
      </c>
      <c r="X111" s="16"/>
      <c r="Y111" s="16"/>
      <c r="Z111" s="16"/>
      <c r="AA111" s="16"/>
      <c r="AB111" s="51">
        <f>181142.4</f>
        <v>181142.4</v>
      </c>
      <c r="AC111" s="51"/>
    </row>
    <row r="112" spans="1:29" s="1" customFormat="1" ht="13.5" customHeight="1">
      <c r="A112" s="13" t="s">
        <v>104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87</v>
      </c>
      <c r="M112" s="14"/>
      <c r="N112" s="14"/>
      <c r="O112" s="14" t="s">
        <v>157</v>
      </c>
      <c r="P112" s="14"/>
      <c r="Q112" s="14"/>
      <c r="R112" s="22" t="s">
        <v>105</v>
      </c>
      <c r="S112" s="22"/>
      <c r="T112" s="16">
        <f>160800</f>
        <v>160800</v>
      </c>
      <c r="U112" s="16"/>
      <c r="V112" s="16"/>
      <c r="W112" s="16">
        <f>54400</f>
        <v>54400</v>
      </c>
      <c r="X112" s="16"/>
      <c r="Y112" s="16"/>
      <c r="Z112" s="16"/>
      <c r="AA112" s="16"/>
      <c r="AB112" s="51">
        <f>106400</f>
        <v>106400</v>
      </c>
      <c r="AC112" s="51"/>
    </row>
    <row r="113" spans="1:29" s="1" customFormat="1" ht="13.5" customHeight="1">
      <c r="A113" s="13" t="s">
        <v>112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87</v>
      </c>
      <c r="M113" s="14"/>
      <c r="N113" s="14"/>
      <c r="O113" s="14" t="s">
        <v>157</v>
      </c>
      <c r="P113" s="14"/>
      <c r="Q113" s="14"/>
      <c r="R113" s="22" t="s">
        <v>113</v>
      </c>
      <c r="S113" s="22"/>
      <c r="T113" s="16">
        <f>433542</f>
        <v>433542</v>
      </c>
      <c r="U113" s="16"/>
      <c r="V113" s="16"/>
      <c r="W113" s="16">
        <f>15000</f>
        <v>15000</v>
      </c>
      <c r="X113" s="16"/>
      <c r="Y113" s="16"/>
      <c r="Z113" s="16"/>
      <c r="AA113" s="16"/>
      <c r="AB113" s="51">
        <f>418542</f>
        <v>418542</v>
      </c>
      <c r="AC113" s="51"/>
    </row>
    <row r="114" spans="1:29" s="1" customFormat="1" ht="13.5" customHeight="1">
      <c r="A114" s="13" t="s">
        <v>106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87</v>
      </c>
      <c r="M114" s="14"/>
      <c r="N114" s="14"/>
      <c r="O114" s="14" t="s">
        <v>157</v>
      </c>
      <c r="P114" s="14"/>
      <c r="Q114" s="14"/>
      <c r="R114" s="22" t="s">
        <v>107</v>
      </c>
      <c r="S114" s="22"/>
      <c r="T114" s="16">
        <f>82854</f>
        <v>82854</v>
      </c>
      <c r="U114" s="16"/>
      <c r="V114" s="16"/>
      <c r="W114" s="20" t="s">
        <v>47</v>
      </c>
      <c r="X114" s="20"/>
      <c r="Y114" s="20"/>
      <c r="Z114" s="20"/>
      <c r="AA114" s="20"/>
      <c r="AB114" s="51">
        <f>82854</f>
        <v>82854</v>
      </c>
      <c r="AC114" s="51"/>
    </row>
    <row r="115" spans="1:29" s="1" customFormat="1" ht="13.5" customHeight="1">
      <c r="A115" s="13" t="s">
        <v>104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87</v>
      </c>
      <c r="M115" s="14"/>
      <c r="N115" s="14"/>
      <c r="O115" s="14" t="s">
        <v>158</v>
      </c>
      <c r="P115" s="14"/>
      <c r="Q115" s="14"/>
      <c r="R115" s="22" t="s">
        <v>105</v>
      </c>
      <c r="S115" s="22"/>
      <c r="T115" s="16">
        <f>28000</f>
        <v>28000</v>
      </c>
      <c r="U115" s="16"/>
      <c r="V115" s="16"/>
      <c r="W115" s="16">
        <f>6542</f>
        <v>6542</v>
      </c>
      <c r="X115" s="16"/>
      <c r="Y115" s="16"/>
      <c r="Z115" s="16"/>
      <c r="AA115" s="16"/>
      <c r="AB115" s="51">
        <f>21458</f>
        <v>21458</v>
      </c>
      <c r="AC115" s="51"/>
    </row>
    <row r="116" spans="1:29" s="1" customFormat="1" ht="13.5" customHeight="1">
      <c r="A116" s="13" t="s">
        <v>159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87</v>
      </c>
      <c r="M116" s="14"/>
      <c r="N116" s="14"/>
      <c r="O116" s="14" t="s">
        <v>160</v>
      </c>
      <c r="P116" s="14"/>
      <c r="Q116" s="14"/>
      <c r="R116" s="22" t="s">
        <v>161</v>
      </c>
      <c r="S116" s="22"/>
      <c r="T116" s="16">
        <f>29708274.31</f>
        <v>29708274.31</v>
      </c>
      <c r="U116" s="16"/>
      <c r="V116" s="16"/>
      <c r="W116" s="16">
        <f>7416285</f>
        <v>7416285</v>
      </c>
      <c r="X116" s="16"/>
      <c r="Y116" s="16"/>
      <c r="Z116" s="16"/>
      <c r="AA116" s="16"/>
      <c r="AB116" s="51">
        <f>22291989.31</f>
        <v>22291989.31</v>
      </c>
      <c r="AC116" s="51"/>
    </row>
    <row r="117" spans="1:29" s="1" customFormat="1" ht="15" customHeight="1">
      <c r="A117" s="47" t="s">
        <v>162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8" t="s">
        <v>163</v>
      </c>
      <c r="M117" s="48"/>
      <c r="N117" s="48"/>
      <c r="O117" s="48" t="s">
        <v>38</v>
      </c>
      <c r="P117" s="48"/>
      <c r="Q117" s="48"/>
      <c r="R117" s="49" t="s">
        <v>38</v>
      </c>
      <c r="S117" s="49"/>
      <c r="T117" s="50">
        <f>-4543364.1</f>
        <v>-4543364.1</v>
      </c>
      <c r="U117" s="50"/>
      <c r="V117" s="50"/>
      <c r="W117" s="50">
        <f>8133121.33</f>
        <v>8133121.33</v>
      </c>
      <c r="X117" s="50"/>
      <c r="Y117" s="50"/>
      <c r="Z117" s="50"/>
      <c r="AA117" s="50"/>
      <c r="AB117" s="42" t="s">
        <v>38</v>
      </c>
      <c r="AC117" s="42"/>
    </row>
    <row r="118" spans="1:29" s="1" customFormat="1" ht="13.5" customHeight="1">
      <c r="A118" s="8" t="s">
        <v>18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s="1" customFormat="1" ht="13.5" customHeight="1">
      <c r="A119" s="43" t="s">
        <v>164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s="1" customFormat="1" ht="45.75" customHeight="1">
      <c r="A120" s="44" t="s">
        <v>24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 t="s">
        <v>25</v>
      </c>
      <c r="N120" s="44"/>
      <c r="O120" s="44"/>
      <c r="P120" s="44" t="s">
        <v>165</v>
      </c>
      <c r="Q120" s="44"/>
      <c r="R120" s="44"/>
      <c r="S120" s="45" t="s">
        <v>27</v>
      </c>
      <c r="T120" s="45"/>
      <c r="U120" s="45"/>
      <c r="V120" s="45" t="s">
        <v>28</v>
      </c>
      <c r="W120" s="45"/>
      <c r="X120" s="45"/>
      <c r="Y120" s="45"/>
      <c r="Z120" s="45"/>
      <c r="AA120" s="46" t="s">
        <v>29</v>
      </c>
      <c r="AB120" s="46"/>
      <c r="AC120" s="46"/>
    </row>
    <row r="121" spans="1:29" s="1" customFormat="1" ht="12.75" customHeight="1">
      <c r="A121" s="39" t="s">
        <v>30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 t="s">
        <v>31</v>
      </c>
      <c r="N121" s="39"/>
      <c r="O121" s="39"/>
      <c r="P121" s="39" t="s">
        <v>32</v>
      </c>
      <c r="Q121" s="39"/>
      <c r="R121" s="39"/>
      <c r="S121" s="40" t="s">
        <v>33</v>
      </c>
      <c r="T121" s="40"/>
      <c r="U121" s="40"/>
      <c r="V121" s="40" t="s">
        <v>34</v>
      </c>
      <c r="W121" s="40"/>
      <c r="X121" s="40"/>
      <c r="Y121" s="40"/>
      <c r="Z121" s="40"/>
      <c r="AA121" s="41" t="s">
        <v>35</v>
      </c>
      <c r="AB121" s="41"/>
      <c r="AC121" s="41"/>
    </row>
    <row r="122" spans="1:29" s="1" customFormat="1" ht="13.5" customHeight="1">
      <c r="A122" s="34" t="s">
        <v>166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 t="s">
        <v>167</v>
      </c>
      <c r="N122" s="35"/>
      <c r="O122" s="35"/>
      <c r="P122" s="35" t="s">
        <v>38</v>
      </c>
      <c r="Q122" s="35"/>
      <c r="R122" s="35"/>
      <c r="S122" s="36">
        <f>4543364.1</f>
        <v>4543364.1</v>
      </c>
      <c r="T122" s="36"/>
      <c r="U122" s="36"/>
      <c r="V122" s="37">
        <f>-8133121.33</f>
        <v>-8133121.33</v>
      </c>
      <c r="W122" s="37"/>
      <c r="X122" s="37"/>
      <c r="Y122" s="37"/>
      <c r="Z122" s="37"/>
      <c r="AA122" s="60">
        <f>S122-V122</f>
        <v>12676485.43</v>
      </c>
      <c r="AB122" s="38"/>
      <c r="AC122" s="38"/>
    </row>
    <row r="123" spans="1:29" s="1" customFormat="1" ht="13.5" customHeight="1">
      <c r="A123" s="32" t="s">
        <v>168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23" t="s">
        <v>18</v>
      </c>
      <c r="N123" s="23"/>
      <c r="O123" s="23"/>
      <c r="P123" s="23" t="s">
        <v>18</v>
      </c>
      <c r="Q123" s="23"/>
      <c r="R123" s="23"/>
      <c r="S123" s="24" t="s">
        <v>18</v>
      </c>
      <c r="T123" s="24"/>
      <c r="U123" s="24"/>
      <c r="V123" s="33" t="s">
        <v>18</v>
      </c>
      <c r="W123" s="33"/>
      <c r="X123" s="33"/>
      <c r="Y123" s="33"/>
      <c r="Z123" s="33"/>
      <c r="AA123" s="25" t="s">
        <v>18</v>
      </c>
      <c r="AB123" s="25"/>
      <c r="AC123" s="25"/>
    </row>
    <row r="124" spans="1:29" s="1" customFormat="1" ht="13.5" customHeight="1">
      <c r="A124" s="26" t="s">
        <v>169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7" t="s">
        <v>170</v>
      </c>
      <c r="N124" s="27"/>
      <c r="O124" s="27"/>
      <c r="P124" s="28" t="s">
        <v>38</v>
      </c>
      <c r="Q124" s="28"/>
      <c r="R124" s="28"/>
      <c r="S124" s="29" t="s">
        <v>47</v>
      </c>
      <c r="T124" s="29"/>
      <c r="U124" s="29"/>
      <c r="V124" s="30" t="s">
        <v>47</v>
      </c>
      <c r="W124" s="30"/>
      <c r="X124" s="30"/>
      <c r="Y124" s="30"/>
      <c r="Z124" s="30"/>
      <c r="AA124" s="31" t="s">
        <v>47</v>
      </c>
      <c r="AB124" s="31"/>
      <c r="AC124" s="31"/>
    </row>
    <row r="125" spans="1:29" s="1" customFormat="1" ht="13.5" customHeight="1">
      <c r="A125" s="22" t="s">
        <v>18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1" customFormat="1" ht="13.5" customHeight="1">
      <c r="A126" s="13" t="s">
        <v>171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23" t="s">
        <v>172</v>
      </c>
      <c r="N126" s="23"/>
      <c r="O126" s="23"/>
      <c r="P126" s="23" t="s">
        <v>38</v>
      </c>
      <c r="Q126" s="23"/>
      <c r="R126" s="23"/>
      <c r="S126" s="24" t="s">
        <v>47</v>
      </c>
      <c r="T126" s="24"/>
      <c r="U126" s="24"/>
      <c r="V126" s="20" t="s">
        <v>47</v>
      </c>
      <c r="W126" s="20"/>
      <c r="X126" s="20"/>
      <c r="Y126" s="20"/>
      <c r="Z126" s="20"/>
      <c r="AA126" s="25" t="s">
        <v>47</v>
      </c>
      <c r="AB126" s="25"/>
      <c r="AC126" s="25"/>
    </row>
    <row r="127" spans="1:29" s="1" customFormat="1" ht="13.5" customHeight="1">
      <c r="A127" s="13" t="s">
        <v>18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 t="s">
        <v>172</v>
      </c>
      <c r="N127" s="14"/>
      <c r="O127" s="14"/>
      <c r="P127" s="14" t="s">
        <v>18</v>
      </c>
      <c r="Q127" s="14"/>
      <c r="R127" s="14"/>
      <c r="S127" s="19" t="s">
        <v>47</v>
      </c>
      <c r="T127" s="19"/>
      <c r="U127" s="19"/>
      <c r="V127" s="20" t="s">
        <v>47</v>
      </c>
      <c r="W127" s="20"/>
      <c r="X127" s="20"/>
      <c r="Y127" s="20"/>
      <c r="Z127" s="20"/>
      <c r="AA127" s="21" t="s">
        <v>47</v>
      </c>
      <c r="AB127" s="21"/>
      <c r="AC127" s="21"/>
    </row>
    <row r="128" spans="1:29" s="1" customFormat="1" ht="13.5" customHeight="1">
      <c r="A128" s="13" t="s">
        <v>173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 t="s">
        <v>174</v>
      </c>
      <c r="N128" s="14"/>
      <c r="O128" s="14"/>
      <c r="P128" s="14" t="s">
        <v>190</v>
      </c>
      <c r="Q128" s="14"/>
      <c r="R128" s="14"/>
      <c r="S128" s="15">
        <f>4543364.1</f>
        <v>4543364.1</v>
      </c>
      <c r="T128" s="15"/>
      <c r="U128" s="15"/>
      <c r="V128" s="16">
        <f>-8133121.33</f>
        <v>-8133121.33</v>
      </c>
      <c r="W128" s="16"/>
      <c r="X128" s="16"/>
      <c r="Y128" s="16"/>
      <c r="Z128" s="16"/>
      <c r="AA128" s="18">
        <f>12676485.43</f>
        <v>12676485.43</v>
      </c>
      <c r="AB128" s="18"/>
      <c r="AC128" s="18"/>
    </row>
    <row r="129" spans="1:29" s="1" customFormat="1" ht="13.5" customHeight="1">
      <c r="A129" s="13" t="s">
        <v>191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4" t="s">
        <v>175</v>
      </c>
      <c r="N129" s="14"/>
      <c r="O129" s="14"/>
      <c r="P129" s="14" t="s">
        <v>176</v>
      </c>
      <c r="Q129" s="14"/>
      <c r="R129" s="14"/>
      <c r="S129" s="15">
        <f>-73184971.73</f>
        <v>-73184971.73</v>
      </c>
      <c r="T129" s="15"/>
      <c r="U129" s="15"/>
      <c r="V129" s="16">
        <f>-23565644.09</f>
        <v>-23565644.09</v>
      </c>
      <c r="W129" s="16"/>
      <c r="X129" s="16"/>
      <c r="Y129" s="16"/>
      <c r="Z129" s="16"/>
      <c r="AA129" s="17" t="s">
        <v>38</v>
      </c>
      <c r="AB129" s="17"/>
      <c r="AC129" s="17"/>
    </row>
    <row r="130" spans="1:29" s="1" customFormat="1" ht="13.5" customHeight="1">
      <c r="A130" s="13" t="s">
        <v>192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 t="s">
        <v>177</v>
      </c>
      <c r="N130" s="14"/>
      <c r="O130" s="14"/>
      <c r="P130" s="14" t="s">
        <v>178</v>
      </c>
      <c r="Q130" s="14"/>
      <c r="R130" s="14"/>
      <c r="S130" s="15">
        <f>77728335.83</f>
        <v>77728335.83</v>
      </c>
      <c r="T130" s="15"/>
      <c r="U130" s="15"/>
      <c r="V130" s="16">
        <f>15432522.76</f>
        <v>15432522.76</v>
      </c>
      <c r="W130" s="16"/>
      <c r="X130" s="16"/>
      <c r="Y130" s="16"/>
      <c r="Z130" s="16"/>
      <c r="AA130" s="17" t="s">
        <v>38</v>
      </c>
      <c r="AB130" s="17"/>
      <c r="AC130" s="17"/>
    </row>
    <row r="131" spans="1:29" s="1" customFormat="1" ht="13.5" customHeight="1">
      <c r="A131" s="12" t="s">
        <v>18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s="1" customFormat="1" ht="13.5" customHeight="1">
      <c r="A132" s="8" t="s">
        <v>179</v>
      </c>
      <c r="B132" s="8"/>
      <c r="C132" s="8"/>
      <c r="D132" s="8"/>
      <c r="E132" s="8"/>
      <c r="F132" s="8"/>
      <c r="G132" s="8"/>
      <c r="H132" s="8"/>
      <c r="I132" s="11" t="s">
        <v>18</v>
      </c>
      <c r="J132" s="11"/>
      <c r="K132" s="11"/>
      <c r="L132" s="11"/>
      <c r="M132" s="11"/>
      <c r="N132" s="11"/>
      <c r="O132" s="11"/>
      <c r="P132" s="11" t="s">
        <v>180</v>
      </c>
      <c r="Q132" s="11"/>
      <c r="R132" s="11"/>
      <c r="S132" s="11"/>
      <c r="T132" s="11"/>
      <c r="U132" s="8" t="s">
        <v>18</v>
      </c>
      <c r="V132" s="8"/>
      <c r="W132" s="8"/>
      <c r="X132" s="8"/>
      <c r="Y132" s="8"/>
      <c r="Z132" s="8"/>
      <c r="AA132" s="8"/>
      <c r="AB132" s="8"/>
      <c r="AC132" s="8"/>
    </row>
    <row r="133" spans="1:29" s="1" customFormat="1" ht="13.5" customHeight="1">
      <c r="A133" s="8" t="s">
        <v>18</v>
      </c>
      <c r="B133" s="8"/>
      <c r="C133" s="8"/>
      <c r="D133" s="8"/>
      <c r="E133" s="8"/>
      <c r="F133" s="8"/>
      <c r="G133" s="8"/>
      <c r="H133" s="8"/>
      <c r="I133" s="5" t="s">
        <v>18</v>
      </c>
      <c r="J133" s="10" t="s">
        <v>181</v>
      </c>
      <c r="K133" s="10"/>
      <c r="L133" s="10"/>
      <c r="M133" s="10"/>
      <c r="N133" s="8" t="s">
        <v>18</v>
      </c>
      <c r="O133" s="8"/>
      <c r="P133" s="5" t="s">
        <v>18</v>
      </c>
      <c r="Q133" s="10" t="s">
        <v>182</v>
      </c>
      <c r="R133" s="10"/>
      <c r="S133" s="10"/>
      <c r="T133" s="8" t="s">
        <v>18</v>
      </c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1" customFormat="1" ht="7.5" customHeight="1">
      <c r="A134" s="8" t="s">
        <v>18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13.5" customHeight="1">
      <c r="A135" s="8" t="s">
        <v>183</v>
      </c>
      <c r="B135" s="8"/>
      <c r="C135" s="8"/>
      <c r="D135" s="8"/>
      <c r="E135" s="8"/>
      <c r="F135" s="8"/>
      <c r="G135" s="8"/>
      <c r="H135" s="8"/>
      <c r="I135" s="11" t="s">
        <v>18</v>
      </c>
      <c r="J135" s="11"/>
      <c r="K135" s="11"/>
      <c r="L135" s="11"/>
      <c r="M135" s="11"/>
      <c r="N135" s="11"/>
      <c r="O135" s="11"/>
      <c r="P135" s="11" t="s">
        <v>184</v>
      </c>
      <c r="Q135" s="11"/>
      <c r="R135" s="11"/>
      <c r="S135" s="11"/>
      <c r="T135" s="11"/>
      <c r="U135" s="8" t="s">
        <v>18</v>
      </c>
      <c r="V135" s="8"/>
      <c r="W135" s="8"/>
      <c r="X135" s="8"/>
      <c r="Y135" s="8"/>
      <c r="Z135" s="8"/>
      <c r="AA135" s="8"/>
      <c r="AB135" s="8"/>
      <c r="AC135" s="8"/>
    </row>
    <row r="136" spans="1:29" s="1" customFormat="1" ht="13.5" customHeight="1">
      <c r="A136" s="8" t="s">
        <v>18</v>
      </c>
      <c r="B136" s="8"/>
      <c r="C136" s="8"/>
      <c r="D136" s="8"/>
      <c r="E136" s="8"/>
      <c r="F136" s="8"/>
      <c r="G136" s="8"/>
      <c r="H136" s="8"/>
      <c r="I136" s="5" t="s">
        <v>18</v>
      </c>
      <c r="J136" s="10" t="s">
        <v>181</v>
      </c>
      <c r="K136" s="10"/>
      <c r="L136" s="10"/>
      <c r="M136" s="10"/>
      <c r="N136" s="8" t="s">
        <v>18</v>
      </c>
      <c r="O136" s="8"/>
      <c r="P136" s="5" t="s">
        <v>18</v>
      </c>
      <c r="Q136" s="10" t="s">
        <v>182</v>
      </c>
      <c r="R136" s="10"/>
      <c r="S136" s="10"/>
      <c r="T136" s="8" t="s">
        <v>18</v>
      </c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1" customFormat="1" ht="7.5" customHeight="1">
      <c r="A137" s="8" t="s">
        <v>18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3.5" customHeight="1">
      <c r="A138" s="8" t="s">
        <v>185</v>
      </c>
      <c r="B138" s="8"/>
      <c r="C138" s="11" t="s">
        <v>186</v>
      </c>
      <c r="D138" s="11"/>
      <c r="E138" s="11"/>
      <c r="F138" s="11"/>
      <c r="G138" s="11"/>
      <c r="H138" s="11"/>
      <c r="I138" s="11" t="s">
        <v>18</v>
      </c>
      <c r="J138" s="11"/>
      <c r="K138" s="11"/>
      <c r="L138" s="11"/>
      <c r="M138" s="11"/>
      <c r="N138" s="11"/>
      <c r="O138" s="11"/>
      <c r="P138" s="11" t="s">
        <v>187</v>
      </c>
      <c r="Q138" s="11"/>
      <c r="R138" s="11"/>
      <c r="S138" s="11"/>
      <c r="T138" s="11"/>
      <c r="U138" s="8" t="s">
        <v>18</v>
      </c>
      <c r="V138" s="8"/>
      <c r="W138" s="8"/>
      <c r="X138" s="8"/>
      <c r="Y138" s="8"/>
      <c r="Z138" s="8"/>
      <c r="AA138" s="8"/>
      <c r="AB138" s="8"/>
      <c r="AC138" s="8"/>
    </row>
    <row r="139" spans="1:29" s="1" customFormat="1" ht="13.5" customHeight="1">
      <c r="A139" s="8" t="s">
        <v>18</v>
      </c>
      <c r="B139" s="8"/>
      <c r="C139" s="5" t="s">
        <v>18</v>
      </c>
      <c r="D139" s="10" t="s">
        <v>188</v>
      </c>
      <c r="E139" s="10"/>
      <c r="F139" s="10"/>
      <c r="G139" s="10"/>
      <c r="H139" s="5" t="s">
        <v>18</v>
      </c>
      <c r="I139" s="5" t="s">
        <v>18</v>
      </c>
      <c r="J139" s="10" t="s">
        <v>181</v>
      </c>
      <c r="K139" s="10"/>
      <c r="L139" s="10"/>
      <c r="M139" s="10"/>
      <c r="N139" s="8" t="s">
        <v>18</v>
      </c>
      <c r="O139" s="8"/>
      <c r="P139" s="5" t="s">
        <v>18</v>
      </c>
      <c r="Q139" s="10" t="s">
        <v>182</v>
      </c>
      <c r="R139" s="10"/>
      <c r="S139" s="10"/>
      <c r="T139" s="8" t="s">
        <v>18</v>
      </c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1" customFormat="1" ht="15.75" customHeight="1">
      <c r="A140" s="8" t="s">
        <v>18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1" customFormat="1" ht="13.5" customHeight="1">
      <c r="A141" s="9" t="s">
        <v>189</v>
      </c>
      <c r="B141" s="9"/>
      <c r="C141" s="9"/>
      <c r="D141" s="9"/>
      <c r="E141" s="9"/>
      <c r="F141" s="9"/>
      <c r="G141" s="9"/>
      <c r="H141" s="9"/>
      <c r="I141" s="9"/>
      <c r="J141" s="9"/>
      <c r="K141" s="8" t="s">
        <v>18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</sheetData>
  <sheetProtection/>
  <mergeCells count="834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T36:V36"/>
    <mergeCell ref="W36:AA36"/>
    <mergeCell ref="AB36:AC36"/>
    <mergeCell ref="A33:L33"/>
    <mergeCell ref="M33:O33"/>
    <mergeCell ref="P33:R33"/>
    <mergeCell ref="S33:U33"/>
    <mergeCell ref="V33:Z33"/>
    <mergeCell ref="AA33:AC33"/>
    <mergeCell ref="O37:Q37"/>
    <mergeCell ref="R37:S37"/>
    <mergeCell ref="T37:V37"/>
    <mergeCell ref="W37:AA37"/>
    <mergeCell ref="A34:AC34"/>
    <mergeCell ref="A35:AC35"/>
    <mergeCell ref="A36:K36"/>
    <mergeCell ref="L36:N36"/>
    <mergeCell ref="O36:Q36"/>
    <mergeCell ref="R36:S36"/>
    <mergeCell ref="AB37:AC37"/>
    <mergeCell ref="A38:K38"/>
    <mergeCell ref="L38:N38"/>
    <mergeCell ref="O38:Q38"/>
    <mergeCell ref="R38:S38"/>
    <mergeCell ref="T38:V38"/>
    <mergeCell ref="W38:AA38"/>
    <mergeCell ref="AB38:AC38"/>
    <mergeCell ref="A37:K37"/>
    <mergeCell ref="L37:N37"/>
    <mergeCell ref="W40:AA40"/>
    <mergeCell ref="AB40:AC40"/>
    <mergeCell ref="A39:K39"/>
    <mergeCell ref="L39:N39"/>
    <mergeCell ref="O39:Q39"/>
    <mergeCell ref="R39:S39"/>
    <mergeCell ref="T39:V39"/>
    <mergeCell ref="W39:AA39"/>
    <mergeCell ref="O41:Q41"/>
    <mergeCell ref="R41:S41"/>
    <mergeCell ref="T41:V41"/>
    <mergeCell ref="W41:AA41"/>
    <mergeCell ref="AB39:AC39"/>
    <mergeCell ref="A40:K40"/>
    <mergeCell ref="L40:N40"/>
    <mergeCell ref="O40:Q40"/>
    <mergeCell ref="R40:S40"/>
    <mergeCell ref="T40:V40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W44:AA44"/>
    <mergeCell ref="AB44:AC44"/>
    <mergeCell ref="A43:K43"/>
    <mergeCell ref="L43:N43"/>
    <mergeCell ref="O43:Q43"/>
    <mergeCell ref="R43:S43"/>
    <mergeCell ref="T43:V43"/>
    <mergeCell ref="W43:AA43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W48:AA48"/>
    <mergeCell ref="AB48:AC48"/>
    <mergeCell ref="A47:K47"/>
    <mergeCell ref="L47:N47"/>
    <mergeCell ref="O47:Q47"/>
    <mergeCell ref="R47:S47"/>
    <mergeCell ref="T47:V47"/>
    <mergeCell ref="W47:AA47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W52:AA52"/>
    <mergeCell ref="AB52:AC52"/>
    <mergeCell ref="A51:K51"/>
    <mergeCell ref="L51:N51"/>
    <mergeCell ref="O51:Q51"/>
    <mergeCell ref="R51:S51"/>
    <mergeCell ref="T51:V51"/>
    <mergeCell ref="W51:AA51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W56:AA56"/>
    <mergeCell ref="AB56:AC56"/>
    <mergeCell ref="A55:K55"/>
    <mergeCell ref="L55:N55"/>
    <mergeCell ref="O55:Q55"/>
    <mergeCell ref="R55:S55"/>
    <mergeCell ref="T55:V55"/>
    <mergeCell ref="W55:AA55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W60:AA60"/>
    <mergeCell ref="AB60:AC60"/>
    <mergeCell ref="A59:K59"/>
    <mergeCell ref="L59:N59"/>
    <mergeCell ref="O59:Q59"/>
    <mergeCell ref="R59:S59"/>
    <mergeCell ref="T59:V59"/>
    <mergeCell ref="W59:AA59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A115:K115"/>
    <mergeCell ref="L115:N115"/>
    <mergeCell ref="O115:Q115"/>
    <mergeCell ref="R115:S115"/>
    <mergeCell ref="T115:V115"/>
    <mergeCell ref="W115:AA115"/>
    <mergeCell ref="A116:K116"/>
    <mergeCell ref="L116:N116"/>
    <mergeCell ref="O116:Q116"/>
    <mergeCell ref="R116:S116"/>
    <mergeCell ref="T116:V116"/>
    <mergeCell ref="W116:AA116"/>
    <mergeCell ref="L117:N117"/>
    <mergeCell ref="O117:Q117"/>
    <mergeCell ref="R117:S117"/>
    <mergeCell ref="T117:V117"/>
    <mergeCell ref="W117:AA117"/>
    <mergeCell ref="AB115:AC115"/>
    <mergeCell ref="AB116:AC116"/>
    <mergeCell ref="AB117:AC117"/>
    <mergeCell ref="A118:AC118"/>
    <mergeCell ref="A119:AC119"/>
    <mergeCell ref="A120:L120"/>
    <mergeCell ref="M120:O120"/>
    <mergeCell ref="P120:R120"/>
    <mergeCell ref="S120:U120"/>
    <mergeCell ref="V120:Z120"/>
    <mergeCell ref="AA120:AC120"/>
    <mergeCell ref="A117:K117"/>
    <mergeCell ref="A121:L121"/>
    <mergeCell ref="M121:O121"/>
    <mergeCell ref="P121:R121"/>
    <mergeCell ref="S121:U121"/>
    <mergeCell ref="V121:Z121"/>
    <mergeCell ref="AA121:AC121"/>
    <mergeCell ref="A122:L122"/>
    <mergeCell ref="M122:O122"/>
    <mergeCell ref="P122:R122"/>
    <mergeCell ref="S122:U122"/>
    <mergeCell ref="V122:Z122"/>
    <mergeCell ref="AA122:AC122"/>
    <mergeCell ref="A123:L123"/>
    <mergeCell ref="M123:O123"/>
    <mergeCell ref="P123:R123"/>
    <mergeCell ref="S123:U123"/>
    <mergeCell ref="V123:Z123"/>
    <mergeCell ref="AA123:AC123"/>
    <mergeCell ref="A124:L124"/>
    <mergeCell ref="M124:O124"/>
    <mergeCell ref="P124:R124"/>
    <mergeCell ref="S124:U124"/>
    <mergeCell ref="V124:Z124"/>
    <mergeCell ref="AA124:AC124"/>
    <mergeCell ref="A125:AC125"/>
    <mergeCell ref="A126:L126"/>
    <mergeCell ref="M126:O126"/>
    <mergeCell ref="P126:R126"/>
    <mergeCell ref="S126:U126"/>
    <mergeCell ref="V126:Z126"/>
    <mergeCell ref="AA126:AC126"/>
    <mergeCell ref="A127:L127"/>
    <mergeCell ref="M127:O127"/>
    <mergeCell ref="P127:R127"/>
    <mergeCell ref="S127:U127"/>
    <mergeCell ref="V127:Z127"/>
    <mergeCell ref="AA127:AC127"/>
    <mergeCell ref="A128:L128"/>
    <mergeCell ref="M128:O128"/>
    <mergeCell ref="P128:R128"/>
    <mergeCell ref="S128:U128"/>
    <mergeCell ref="V128:Z128"/>
    <mergeCell ref="AA128:AC128"/>
    <mergeCell ref="A129:L129"/>
    <mergeCell ref="M129:O129"/>
    <mergeCell ref="P129:R129"/>
    <mergeCell ref="S129:U129"/>
    <mergeCell ref="V129:Z129"/>
    <mergeCell ref="AA129:AC129"/>
    <mergeCell ref="A130:L130"/>
    <mergeCell ref="M130:O130"/>
    <mergeCell ref="P130:R130"/>
    <mergeCell ref="S130:U130"/>
    <mergeCell ref="V130:Z130"/>
    <mergeCell ref="AA130:AC130"/>
    <mergeCell ref="A131:AC131"/>
    <mergeCell ref="A132:H132"/>
    <mergeCell ref="I132:O132"/>
    <mergeCell ref="P132:T132"/>
    <mergeCell ref="U132:AC132"/>
    <mergeCell ref="A133:H133"/>
    <mergeCell ref="J133:M133"/>
    <mergeCell ref="N133:O133"/>
    <mergeCell ref="Q133:S133"/>
    <mergeCell ref="T133:AC133"/>
    <mergeCell ref="A134:AC134"/>
    <mergeCell ref="A135:H135"/>
    <mergeCell ref="I135:O135"/>
    <mergeCell ref="P135:T135"/>
    <mergeCell ref="U135:AC135"/>
    <mergeCell ref="A136:H136"/>
    <mergeCell ref="J136:M136"/>
    <mergeCell ref="N136:O136"/>
    <mergeCell ref="Q136:S136"/>
    <mergeCell ref="T136:AC136"/>
    <mergeCell ref="A137:AC137"/>
    <mergeCell ref="A138:B138"/>
    <mergeCell ref="C138:H138"/>
    <mergeCell ref="I138:O138"/>
    <mergeCell ref="P138:T138"/>
    <mergeCell ref="U138:AC138"/>
    <mergeCell ref="A140:AC140"/>
    <mergeCell ref="A141:J141"/>
    <mergeCell ref="K141:AC141"/>
    <mergeCell ref="A139:B139"/>
    <mergeCell ref="D139:G139"/>
    <mergeCell ref="J139:M139"/>
    <mergeCell ref="N139:O139"/>
    <mergeCell ref="Q139:S139"/>
    <mergeCell ref="T139:AC139"/>
  </mergeCells>
  <printOptions/>
  <pageMargins left="0.3937007874015748" right="0" top="0.47" bottom="0" header="0.17" footer="0.17"/>
  <pageSetup horizontalDpi="600" verticalDpi="600" orientation="landscape" paperSize="9" r:id="rId1"/>
  <headerFooter alignWithMargins="0">
    <oddHeader>&amp;C&amp;Я</oddHeader>
    <oddFooter>&amp;C&amp;Ь&amp;Ф</oddFooter>
  </headerFooter>
  <rowBreaks count="2" manualBreakCount="2">
    <brk id="34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2017-05-19T05:10:22Z</cp:lastPrinted>
  <dcterms:modified xsi:type="dcterms:W3CDTF">2017-05-19T05:11:02Z</dcterms:modified>
  <cp:category/>
  <cp:version/>
  <cp:contentType/>
  <cp:contentStatus/>
</cp:coreProperties>
</file>