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fs\doc\ODNKP\!Общая по отделу\Не изменяемые\Письма\2018\ИФНС\ГАР 12.09.2018\"/>
    </mc:Choice>
  </mc:AlternateContent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A109" i="1" l="1"/>
  <c r="Z109" i="1"/>
  <c r="V109" i="1"/>
  <c r="Y109" i="1"/>
  <c r="Y107" i="1"/>
  <c r="Y96" i="1"/>
  <c r="S109" i="1"/>
  <c r="T109" i="1"/>
  <c r="U109" i="1"/>
  <c r="W109" i="1"/>
  <c r="X109" i="1"/>
  <c r="R109" i="1"/>
  <c r="Q109" i="1"/>
  <c r="Q107" i="1"/>
  <c r="P107" i="1"/>
  <c r="O107" i="1"/>
  <c r="O109" i="1" s="1"/>
  <c r="P109" i="1"/>
  <c r="N109" i="1"/>
  <c r="M109" i="1"/>
  <c r="M107" i="1"/>
  <c r="L109" i="1"/>
  <c r="D109" i="1"/>
  <c r="E109" i="1"/>
  <c r="F109" i="1"/>
  <c r="G109" i="1"/>
  <c r="H109" i="1"/>
  <c r="I109" i="1"/>
  <c r="J109" i="1"/>
  <c r="K109" i="1"/>
  <c r="C109" i="1"/>
  <c r="AA2" i="1" l="1"/>
  <c r="R2" i="1"/>
  <c r="R3" i="1"/>
  <c r="AA3" i="1" s="1"/>
  <c r="R4" i="1"/>
  <c r="AA4" i="1" s="1"/>
  <c r="R5" i="1"/>
  <c r="AA5" i="1" s="1"/>
  <c r="R6" i="1"/>
  <c r="AA6" i="1" s="1"/>
  <c r="R7" i="1"/>
  <c r="AA7" i="1" s="1"/>
  <c r="R8" i="1"/>
  <c r="AA8" i="1" s="1"/>
  <c r="R9" i="1"/>
  <c r="AA9" i="1" s="1"/>
  <c r="R10" i="1"/>
  <c r="AA10" i="1" s="1"/>
  <c r="R11" i="1"/>
  <c r="AA11" i="1" s="1"/>
  <c r="R12" i="1"/>
  <c r="AA12" i="1" s="1"/>
  <c r="R13" i="1"/>
  <c r="AA13" i="1" s="1"/>
  <c r="R14" i="1"/>
  <c r="AA14" i="1" s="1"/>
  <c r="R15" i="1"/>
  <c r="AA15" i="1" s="1"/>
  <c r="R16" i="1"/>
  <c r="AA16" i="1" s="1"/>
  <c r="R17" i="1"/>
  <c r="AA17" i="1" s="1"/>
  <c r="R18" i="1"/>
  <c r="AA18" i="1" s="1"/>
  <c r="R19" i="1"/>
  <c r="AA19" i="1" s="1"/>
  <c r="R20" i="1"/>
  <c r="AA20" i="1" s="1"/>
  <c r="R21" i="1"/>
  <c r="AA21" i="1" s="1"/>
  <c r="R22" i="1"/>
  <c r="AA22" i="1" s="1"/>
  <c r="R23" i="1"/>
  <c r="AA23" i="1" s="1"/>
  <c r="R24" i="1"/>
  <c r="AA24" i="1" s="1"/>
  <c r="R25" i="1"/>
  <c r="AA25" i="1" s="1"/>
  <c r="R26" i="1"/>
  <c r="AA26" i="1" s="1"/>
  <c r="R27" i="1"/>
  <c r="AA27" i="1" s="1"/>
  <c r="R28" i="1"/>
  <c r="AA28" i="1" s="1"/>
  <c r="R29" i="1"/>
  <c r="AA29" i="1" s="1"/>
  <c r="R30" i="1"/>
  <c r="AA30" i="1" s="1"/>
  <c r="R31" i="1"/>
  <c r="AA31" i="1" s="1"/>
  <c r="R32" i="1"/>
  <c r="AA32" i="1" s="1"/>
  <c r="R33" i="1"/>
  <c r="AA33" i="1" s="1"/>
  <c r="R34" i="1"/>
  <c r="AA34" i="1" s="1"/>
  <c r="R35" i="1"/>
  <c r="AA35" i="1" s="1"/>
  <c r="R36" i="1"/>
  <c r="AA36" i="1" s="1"/>
  <c r="R37" i="1"/>
  <c r="AA37" i="1" s="1"/>
  <c r="R38" i="1"/>
  <c r="AA38" i="1" s="1"/>
  <c r="R39" i="1"/>
  <c r="AA39" i="1" s="1"/>
  <c r="R40" i="1"/>
  <c r="AA40" i="1" s="1"/>
  <c r="R41" i="1"/>
  <c r="AA41" i="1" s="1"/>
  <c r="R42" i="1"/>
  <c r="AA42" i="1" s="1"/>
  <c r="R43" i="1"/>
  <c r="AA43" i="1" s="1"/>
  <c r="R44" i="1"/>
  <c r="AA44" i="1" s="1"/>
  <c r="R45" i="1"/>
  <c r="AA45" i="1" s="1"/>
  <c r="R46" i="1"/>
  <c r="AA46" i="1" s="1"/>
  <c r="R47" i="1"/>
  <c r="AA47" i="1" s="1"/>
  <c r="R48" i="1"/>
  <c r="AA48" i="1" s="1"/>
  <c r="R49" i="1"/>
  <c r="AA49" i="1" s="1"/>
  <c r="R50" i="1"/>
  <c r="AA50" i="1" s="1"/>
  <c r="R51" i="1"/>
  <c r="AA51" i="1" s="1"/>
  <c r="R52" i="1"/>
  <c r="AA52" i="1" s="1"/>
  <c r="R53" i="1"/>
  <c r="AA53" i="1" s="1"/>
  <c r="R54" i="1"/>
  <c r="AA54" i="1" s="1"/>
  <c r="R55" i="1"/>
  <c r="AA55" i="1" s="1"/>
  <c r="R56" i="1"/>
  <c r="AA56" i="1" s="1"/>
  <c r="R57" i="1"/>
  <c r="AA57" i="1" s="1"/>
  <c r="R58" i="1"/>
  <c r="AA58" i="1" s="1"/>
  <c r="R59" i="1"/>
  <c r="AA59" i="1" s="1"/>
  <c r="R60" i="1"/>
  <c r="AA60" i="1" s="1"/>
  <c r="R61" i="1"/>
  <c r="AA61" i="1" s="1"/>
  <c r="R62" i="1"/>
  <c r="AA62" i="1" s="1"/>
  <c r="R63" i="1"/>
  <c r="AA63" i="1" s="1"/>
  <c r="R64" i="1"/>
  <c r="AA64" i="1" s="1"/>
  <c r="R65" i="1"/>
  <c r="AA65" i="1" s="1"/>
  <c r="R66" i="1"/>
  <c r="AA66" i="1" s="1"/>
  <c r="R67" i="1"/>
  <c r="AA67" i="1" s="1"/>
  <c r="R68" i="1"/>
  <c r="AA68" i="1" s="1"/>
  <c r="R69" i="1"/>
  <c r="AA69" i="1" s="1"/>
  <c r="R70" i="1"/>
  <c r="AA70" i="1" s="1"/>
  <c r="R71" i="1"/>
  <c r="AA71" i="1" s="1"/>
  <c r="R72" i="1"/>
  <c r="AA72" i="1" s="1"/>
  <c r="R73" i="1"/>
  <c r="AA73" i="1" s="1"/>
  <c r="R74" i="1"/>
  <c r="AA74" i="1" s="1"/>
  <c r="R75" i="1"/>
  <c r="AA75" i="1" s="1"/>
  <c r="R76" i="1"/>
  <c r="AA76" i="1" s="1"/>
  <c r="R77" i="1"/>
  <c r="AA77" i="1" s="1"/>
  <c r="R78" i="1"/>
  <c r="AA78" i="1" s="1"/>
  <c r="R79" i="1"/>
  <c r="AA79" i="1" s="1"/>
  <c r="R80" i="1"/>
  <c r="AA80" i="1" s="1"/>
  <c r="R81" i="1"/>
  <c r="AA81" i="1" s="1"/>
  <c r="R82" i="1"/>
  <c r="AA82" i="1" s="1"/>
  <c r="R83" i="1"/>
  <c r="AA83" i="1" s="1"/>
  <c r="R84" i="1"/>
  <c r="AA84" i="1" s="1"/>
  <c r="R85" i="1"/>
  <c r="AA85" i="1" s="1"/>
  <c r="R86" i="1"/>
  <c r="AA86" i="1" s="1"/>
  <c r="R87" i="1"/>
  <c r="AA87" i="1" s="1"/>
  <c r="R88" i="1"/>
  <c r="AA88" i="1" s="1"/>
  <c r="R89" i="1"/>
  <c r="AA89" i="1" s="1"/>
  <c r="R90" i="1"/>
  <c r="AA90" i="1" s="1"/>
  <c r="R91" i="1"/>
  <c r="AA91" i="1" s="1"/>
  <c r="R92" i="1"/>
  <c r="AA92" i="1" s="1"/>
  <c r="R93" i="1"/>
  <c r="AA93" i="1" s="1"/>
  <c r="R94" i="1"/>
  <c r="AA94" i="1" s="1"/>
  <c r="R95" i="1"/>
  <c r="AA95" i="1" s="1"/>
  <c r="R96" i="1"/>
  <c r="AA96" i="1" s="1"/>
  <c r="R97" i="1"/>
  <c r="AA97" i="1" s="1"/>
  <c r="R98" i="1"/>
  <c r="AA98" i="1" s="1"/>
  <c r="R99" i="1"/>
  <c r="AA99" i="1" s="1"/>
  <c r="R100" i="1"/>
  <c r="AA100" i="1" s="1"/>
  <c r="R101" i="1"/>
  <c r="AA101" i="1" s="1"/>
  <c r="R102" i="1"/>
  <c r="AA102" i="1" s="1"/>
  <c r="R103" i="1"/>
  <c r="AA103" i="1" s="1"/>
  <c r="R104" i="1"/>
  <c r="AA104" i="1" s="1"/>
  <c r="R105" i="1"/>
  <c r="AA105" i="1" s="1"/>
  <c r="R106" i="1"/>
  <c r="AA106" i="1" s="1"/>
  <c r="R107" i="1" l="1"/>
  <c r="Y2" i="1" l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7" i="1"/>
  <c r="Y98" i="1"/>
  <c r="Y99" i="1"/>
  <c r="Y100" i="1"/>
  <c r="Y101" i="1"/>
  <c r="Y102" i="1"/>
  <c r="Y103" i="1"/>
  <c r="Y104" i="1"/>
  <c r="Y105" i="1"/>
  <c r="Y106" i="1"/>
  <c r="X107" i="1" l="1"/>
  <c r="AA107" i="1" l="1"/>
  <c r="G2" i="1"/>
  <c r="Q2" i="1" s="1"/>
  <c r="Z2" i="1" s="1"/>
  <c r="G3" i="1"/>
  <c r="Q3" i="1" s="1"/>
  <c r="Z3" i="1" s="1"/>
  <c r="G4" i="1"/>
  <c r="Q4" i="1" s="1"/>
  <c r="Z4" i="1" s="1"/>
  <c r="G5" i="1"/>
  <c r="Q5" i="1" s="1"/>
  <c r="Z5" i="1" s="1"/>
  <c r="G6" i="1"/>
  <c r="Q6" i="1" s="1"/>
  <c r="Z6" i="1" s="1"/>
  <c r="G7" i="1"/>
  <c r="Q7" i="1" s="1"/>
  <c r="Z7" i="1" s="1"/>
  <c r="G8" i="1"/>
  <c r="Q8" i="1" s="1"/>
  <c r="Z8" i="1" s="1"/>
  <c r="G9" i="1"/>
  <c r="Q9" i="1" s="1"/>
  <c r="Z9" i="1" s="1"/>
  <c r="G10" i="1"/>
  <c r="Q10" i="1" s="1"/>
  <c r="Z10" i="1" s="1"/>
  <c r="G11" i="1"/>
  <c r="Q11" i="1" s="1"/>
  <c r="Z11" i="1" s="1"/>
  <c r="G12" i="1"/>
  <c r="Q12" i="1" s="1"/>
  <c r="Z12" i="1" s="1"/>
  <c r="G13" i="1"/>
  <c r="Q13" i="1" s="1"/>
  <c r="Z13" i="1" s="1"/>
  <c r="G14" i="1"/>
  <c r="Q14" i="1" s="1"/>
  <c r="Z14" i="1" s="1"/>
  <c r="G15" i="1"/>
  <c r="Q15" i="1" s="1"/>
  <c r="Z15" i="1" s="1"/>
  <c r="G16" i="1"/>
  <c r="Q16" i="1" s="1"/>
  <c r="Z16" i="1" s="1"/>
  <c r="G17" i="1"/>
  <c r="Q17" i="1" s="1"/>
  <c r="Z17" i="1" s="1"/>
  <c r="G18" i="1"/>
  <c r="Q18" i="1" s="1"/>
  <c r="Z18" i="1" s="1"/>
  <c r="G19" i="1"/>
  <c r="Q19" i="1" s="1"/>
  <c r="Z19" i="1" s="1"/>
  <c r="G20" i="1"/>
  <c r="Q20" i="1" s="1"/>
  <c r="Z20" i="1" s="1"/>
  <c r="G21" i="1"/>
  <c r="Q21" i="1" s="1"/>
  <c r="Z21" i="1" s="1"/>
  <c r="G22" i="1"/>
  <c r="Q22" i="1" s="1"/>
  <c r="Z22" i="1" s="1"/>
  <c r="G23" i="1"/>
  <c r="Q23" i="1" s="1"/>
  <c r="Z23" i="1" s="1"/>
  <c r="G24" i="1"/>
  <c r="Q24" i="1" s="1"/>
  <c r="Z24" i="1" s="1"/>
  <c r="G25" i="1"/>
  <c r="Q25" i="1" s="1"/>
  <c r="Z25" i="1" s="1"/>
  <c r="G26" i="1"/>
  <c r="Q26" i="1" s="1"/>
  <c r="Z26" i="1" s="1"/>
  <c r="G27" i="1"/>
  <c r="Q27" i="1" s="1"/>
  <c r="Z27" i="1" s="1"/>
  <c r="G28" i="1"/>
  <c r="Q28" i="1" s="1"/>
  <c r="Z28" i="1" s="1"/>
  <c r="G29" i="1"/>
  <c r="Q29" i="1" s="1"/>
  <c r="Z29" i="1" s="1"/>
  <c r="G30" i="1"/>
  <c r="Q30" i="1" s="1"/>
  <c r="Z30" i="1" s="1"/>
  <c r="G31" i="1"/>
  <c r="Q31" i="1" s="1"/>
  <c r="Z31" i="1" s="1"/>
  <c r="G32" i="1"/>
  <c r="Q32" i="1" s="1"/>
  <c r="Z32" i="1" s="1"/>
  <c r="G33" i="1"/>
  <c r="Q33" i="1" s="1"/>
  <c r="Z33" i="1" s="1"/>
  <c r="G34" i="1"/>
  <c r="Q34" i="1" s="1"/>
  <c r="Z34" i="1" s="1"/>
  <c r="G35" i="1"/>
  <c r="Q35" i="1" s="1"/>
  <c r="Z35" i="1" s="1"/>
  <c r="G36" i="1"/>
  <c r="Q36" i="1" s="1"/>
  <c r="Z36" i="1" s="1"/>
  <c r="G37" i="1"/>
  <c r="Q37" i="1" s="1"/>
  <c r="Z37" i="1" s="1"/>
  <c r="G38" i="1"/>
  <c r="Q38" i="1" s="1"/>
  <c r="Z38" i="1" s="1"/>
  <c r="G39" i="1"/>
  <c r="Q39" i="1" s="1"/>
  <c r="Z39" i="1" s="1"/>
  <c r="G40" i="1"/>
  <c r="Q40" i="1" s="1"/>
  <c r="Z40" i="1" s="1"/>
  <c r="G41" i="1"/>
  <c r="Q41" i="1" s="1"/>
  <c r="Z41" i="1" s="1"/>
  <c r="G42" i="1"/>
  <c r="Q42" i="1" s="1"/>
  <c r="Z42" i="1" s="1"/>
  <c r="G43" i="1"/>
  <c r="Q43" i="1" s="1"/>
  <c r="Z43" i="1" s="1"/>
  <c r="G44" i="1"/>
  <c r="Q44" i="1" s="1"/>
  <c r="Z44" i="1" s="1"/>
  <c r="G45" i="1"/>
  <c r="Q45" i="1" s="1"/>
  <c r="Z45" i="1" s="1"/>
  <c r="G46" i="1"/>
  <c r="Q46" i="1" s="1"/>
  <c r="Z46" i="1" s="1"/>
  <c r="G47" i="1"/>
  <c r="Q47" i="1" s="1"/>
  <c r="Z47" i="1" s="1"/>
  <c r="G48" i="1"/>
  <c r="Q48" i="1" s="1"/>
  <c r="Z48" i="1" s="1"/>
  <c r="G49" i="1"/>
  <c r="Q49" i="1" s="1"/>
  <c r="Z49" i="1" s="1"/>
  <c r="G50" i="1"/>
  <c r="Q50" i="1" s="1"/>
  <c r="Z50" i="1" s="1"/>
  <c r="G51" i="1"/>
  <c r="Q51" i="1" s="1"/>
  <c r="Z51" i="1" s="1"/>
  <c r="G52" i="1"/>
  <c r="Q52" i="1" s="1"/>
  <c r="Z52" i="1" s="1"/>
  <c r="G53" i="1"/>
  <c r="Q53" i="1" s="1"/>
  <c r="Z53" i="1" s="1"/>
  <c r="G54" i="1"/>
  <c r="Q54" i="1" s="1"/>
  <c r="Z54" i="1" s="1"/>
  <c r="G55" i="1"/>
  <c r="Q55" i="1" s="1"/>
  <c r="Z55" i="1" s="1"/>
  <c r="G56" i="1"/>
  <c r="Q56" i="1" s="1"/>
  <c r="Z56" i="1" s="1"/>
  <c r="G57" i="1"/>
  <c r="Q57" i="1" s="1"/>
  <c r="Z57" i="1" s="1"/>
  <c r="G58" i="1"/>
  <c r="Q58" i="1" s="1"/>
  <c r="Z58" i="1" s="1"/>
  <c r="G59" i="1"/>
  <c r="Q59" i="1" s="1"/>
  <c r="Z59" i="1" s="1"/>
  <c r="G60" i="1"/>
  <c r="Q60" i="1" s="1"/>
  <c r="Z60" i="1" s="1"/>
  <c r="G61" i="1"/>
  <c r="Q61" i="1" s="1"/>
  <c r="Z61" i="1" s="1"/>
  <c r="G62" i="1"/>
  <c r="Q62" i="1" s="1"/>
  <c r="Z62" i="1" s="1"/>
  <c r="G63" i="1"/>
  <c r="Q63" i="1" s="1"/>
  <c r="Z63" i="1" s="1"/>
  <c r="G64" i="1"/>
  <c r="Q64" i="1" s="1"/>
  <c r="Z64" i="1" s="1"/>
  <c r="G65" i="1"/>
  <c r="Q65" i="1" s="1"/>
  <c r="Z65" i="1" s="1"/>
  <c r="G66" i="1"/>
  <c r="Q66" i="1" s="1"/>
  <c r="Z66" i="1" s="1"/>
  <c r="G67" i="1"/>
  <c r="Q67" i="1" s="1"/>
  <c r="Z67" i="1" s="1"/>
  <c r="G68" i="1"/>
  <c r="Q68" i="1" s="1"/>
  <c r="Z68" i="1" s="1"/>
  <c r="G69" i="1"/>
  <c r="Q69" i="1" s="1"/>
  <c r="Z69" i="1" s="1"/>
  <c r="G70" i="1"/>
  <c r="Q70" i="1" s="1"/>
  <c r="Z70" i="1" s="1"/>
  <c r="G71" i="1"/>
  <c r="Q71" i="1" s="1"/>
  <c r="Z71" i="1" s="1"/>
  <c r="G72" i="1"/>
  <c r="Q72" i="1" s="1"/>
  <c r="Z72" i="1" s="1"/>
  <c r="G73" i="1"/>
  <c r="Q73" i="1" s="1"/>
  <c r="Z73" i="1" s="1"/>
  <c r="G74" i="1"/>
  <c r="Q74" i="1" s="1"/>
  <c r="Z74" i="1" s="1"/>
  <c r="G75" i="1"/>
  <c r="Q75" i="1" s="1"/>
  <c r="Z75" i="1" s="1"/>
  <c r="G76" i="1"/>
  <c r="Q76" i="1" s="1"/>
  <c r="Z76" i="1" s="1"/>
  <c r="G77" i="1"/>
  <c r="Q77" i="1" s="1"/>
  <c r="Z77" i="1" s="1"/>
  <c r="G78" i="1"/>
  <c r="Q78" i="1" s="1"/>
  <c r="Z78" i="1" s="1"/>
  <c r="G79" i="1"/>
  <c r="Q79" i="1" s="1"/>
  <c r="Z79" i="1" s="1"/>
  <c r="G80" i="1"/>
  <c r="Q80" i="1" s="1"/>
  <c r="Z80" i="1" s="1"/>
  <c r="G81" i="1"/>
  <c r="Q81" i="1" s="1"/>
  <c r="Z81" i="1" s="1"/>
  <c r="G82" i="1"/>
  <c r="Q82" i="1" s="1"/>
  <c r="Z82" i="1" s="1"/>
  <c r="G83" i="1"/>
  <c r="Q83" i="1" s="1"/>
  <c r="Z83" i="1" s="1"/>
  <c r="G84" i="1"/>
  <c r="Q84" i="1" s="1"/>
  <c r="Z84" i="1" s="1"/>
  <c r="G85" i="1"/>
  <c r="Q85" i="1" s="1"/>
  <c r="Z85" i="1" s="1"/>
  <c r="G86" i="1"/>
  <c r="Q86" i="1" s="1"/>
  <c r="Z86" i="1" s="1"/>
  <c r="G87" i="1"/>
  <c r="Q87" i="1" s="1"/>
  <c r="Z87" i="1" s="1"/>
  <c r="G88" i="1"/>
  <c r="Q88" i="1" s="1"/>
  <c r="Z88" i="1" s="1"/>
  <c r="G89" i="1"/>
  <c r="Q89" i="1" s="1"/>
  <c r="Z89" i="1" s="1"/>
  <c r="G90" i="1"/>
  <c r="Q90" i="1" s="1"/>
  <c r="Z90" i="1" s="1"/>
  <c r="G91" i="1"/>
  <c r="Q91" i="1" s="1"/>
  <c r="Z91" i="1" s="1"/>
  <c r="G92" i="1"/>
  <c r="Q92" i="1" s="1"/>
  <c r="Z92" i="1" s="1"/>
  <c r="G93" i="1"/>
  <c r="Q93" i="1" s="1"/>
  <c r="Z93" i="1" s="1"/>
  <c r="G94" i="1"/>
  <c r="Q94" i="1" s="1"/>
  <c r="Z94" i="1" s="1"/>
  <c r="G95" i="1"/>
  <c r="Q95" i="1" s="1"/>
  <c r="Z95" i="1" s="1"/>
  <c r="G96" i="1"/>
  <c r="Q96" i="1" s="1"/>
  <c r="Z96" i="1" s="1"/>
  <c r="G97" i="1"/>
  <c r="Q97" i="1" s="1"/>
  <c r="Z97" i="1" s="1"/>
  <c r="G98" i="1"/>
  <c r="Q98" i="1" s="1"/>
  <c r="Z98" i="1" s="1"/>
  <c r="G99" i="1"/>
  <c r="Q99" i="1" s="1"/>
  <c r="Z99" i="1" s="1"/>
  <c r="G100" i="1"/>
  <c r="Q100" i="1" s="1"/>
  <c r="Z100" i="1" s="1"/>
  <c r="G101" i="1"/>
  <c r="Q101" i="1" s="1"/>
  <c r="Z101" i="1" s="1"/>
  <c r="G102" i="1"/>
  <c r="Q102" i="1" s="1"/>
  <c r="Z102" i="1" s="1"/>
  <c r="G103" i="1"/>
  <c r="Q103" i="1" s="1"/>
  <c r="Z103" i="1" s="1"/>
  <c r="G104" i="1"/>
  <c r="Q104" i="1" s="1"/>
  <c r="Z104" i="1" s="1"/>
  <c r="G105" i="1"/>
  <c r="Q105" i="1" s="1"/>
  <c r="Z105" i="1" s="1"/>
  <c r="G106" i="1"/>
  <c r="Q106" i="1" s="1"/>
  <c r="Z106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F107" i="1"/>
  <c r="Z107" i="1" l="1"/>
  <c r="G107" i="1"/>
  <c r="D107" i="1"/>
  <c r="W2" i="1" l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N107" i="1" l="1"/>
  <c r="V107" i="1" l="1"/>
  <c r="U107" i="1" l="1"/>
  <c r="S107" i="1" l="1"/>
  <c r="W107" i="1" s="1"/>
  <c r="T18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 l="1"/>
  <c r="J107" i="1"/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I107" i="1" l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 l="1"/>
  <c r="C107" i="1"/>
  <c r="H107" i="1"/>
</calcChain>
</file>

<file path=xl/sharedStrings.xml><?xml version="1.0" encoding="utf-8"?>
<sst xmlns="http://schemas.openxmlformats.org/spreadsheetml/2006/main" count="135" uniqueCount="134">
  <si>
    <t>Наименование ИФНС</t>
  </si>
  <si>
    <t>Наименование МО</t>
  </si>
  <si>
    <t>Количество ФИАС</t>
  </si>
  <si>
    <t>Ханты-Мансийск</t>
  </si>
  <si>
    <t>Горноправдинск</t>
  </si>
  <si>
    <t>Кедровый</t>
  </si>
  <si>
    <t>Шапша</t>
  </si>
  <si>
    <t>Луговской</t>
  </si>
  <si>
    <t>Кышик</t>
  </si>
  <si>
    <t>Нялинское</t>
  </si>
  <si>
    <t>Селиярово</t>
  </si>
  <si>
    <t>Сибирский</t>
  </si>
  <si>
    <t>Согом</t>
  </si>
  <si>
    <t>Выкатной</t>
  </si>
  <si>
    <t>Красноленинский</t>
  </si>
  <si>
    <t>Цингалы</t>
  </si>
  <si>
    <t>Урай</t>
  </si>
  <si>
    <t>Кондинское</t>
  </si>
  <si>
    <t>Куминский</t>
  </si>
  <si>
    <t>Луговой</t>
  </si>
  <si>
    <t>Междуреченский</t>
  </si>
  <si>
    <t>Мортка</t>
  </si>
  <si>
    <t>Болчары</t>
  </si>
  <si>
    <t>Шугур</t>
  </si>
  <si>
    <t>Леуши</t>
  </si>
  <si>
    <t>Половинка</t>
  </si>
  <si>
    <t>Мулымья</t>
  </si>
  <si>
    <t>Нягань</t>
  </si>
  <si>
    <t>Октябрьское</t>
  </si>
  <si>
    <t>Андра</t>
  </si>
  <si>
    <t>Приобье</t>
  </si>
  <si>
    <t>Талинка</t>
  </si>
  <si>
    <t>Унъюган</t>
  </si>
  <si>
    <t>Карымкары</t>
  </si>
  <si>
    <t>Малый Атлым</t>
  </si>
  <si>
    <t>Каменное</t>
  </si>
  <si>
    <t>Перегребное</t>
  </si>
  <si>
    <t>Сергино</t>
  </si>
  <si>
    <t>Шеркалы</t>
  </si>
  <si>
    <t>Югорск</t>
  </si>
  <si>
    <t>Советский</t>
  </si>
  <si>
    <t>Агириш</t>
  </si>
  <si>
    <t>Зеленоборск</t>
  </si>
  <si>
    <t>Коммунистический</t>
  </si>
  <si>
    <t>Пионерский</t>
  </si>
  <si>
    <t>Малиновский</t>
  </si>
  <si>
    <t>Таежный</t>
  </si>
  <si>
    <t>Алябьевский</t>
  </si>
  <si>
    <t>Лангепас</t>
  </si>
  <si>
    <t>Мегион</t>
  </si>
  <si>
    <t>Покачи</t>
  </si>
  <si>
    <t>Нижневартовск</t>
  </si>
  <si>
    <t>Радужный</t>
  </si>
  <si>
    <t>Излучинск</t>
  </si>
  <si>
    <t>Новоаганск</t>
  </si>
  <si>
    <t>Аган</t>
  </si>
  <si>
    <t>Зайцева Речка</t>
  </si>
  <si>
    <t>Ларьяк</t>
  </si>
  <si>
    <t>Ваховск</t>
  </si>
  <si>
    <t>Покур</t>
  </si>
  <si>
    <t>Вата</t>
  </si>
  <si>
    <t>Нефтеюганск</t>
  </si>
  <si>
    <t>Сингапай</t>
  </si>
  <si>
    <t>Пойковский</t>
  </si>
  <si>
    <t>Куть-Ях</t>
  </si>
  <si>
    <t>Лемпино</t>
  </si>
  <si>
    <t>Салым</t>
  </si>
  <si>
    <t>Усть-Юган</t>
  </si>
  <si>
    <t>Сентябрьский</t>
  </si>
  <si>
    <t>Каркатеевы</t>
  </si>
  <si>
    <t>Верхнеказымский</t>
  </si>
  <si>
    <t>Казым</t>
  </si>
  <si>
    <t>Лыхма</t>
  </si>
  <si>
    <t>Полноват</t>
  </si>
  <si>
    <t>Сосновка</t>
  </si>
  <si>
    <t>Сорум</t>
  </si>
  <si>
    <t>Белоярский</t>
  </si>
  <si>
    <t>Игрим</t>
  </si>
  <si>
    <t>Приполярный</t>
  </si>
  <si>
    <t>Саранпауль</t>
  </si>
  <si>
    <t>Светлый</t>
  </si>
  <si>
    <t>Хулимсунт</t>
  </si>
  <si>
    <t>Сургут</t>
  </si>
  <si>
    <t>Лянтор</t>
  </si>
  <si>
    <t>Барсово</t>
  </si>
  <si>
    <t>Белый Яр</t>
  </si>
  <si>
    <t>Федоровский</t>
  </si>
  <si>
    <t>Солнечный</t>
  </si>
  <si>
    <t>Локосово</t>
  </si>
  <si>
    <t>Лямина</t>
  </si>
  <si>
    <t>Нижнесортымский</t>
  </si>
  <si>
    <t>Русскинская</t>
  </si>
  <si>
    <t>Сытомино</t>
  </si>
  <si>
    <t>Тундрино</t>
  </si>
  <si>
    <t>Угут</t>
  </si>
  <si>
    <t>Ульт-Ягун</t>
  </si>
  <si>
    <t>Когалым</t>
  </si>
  <si>
    <t>Кондинский район</t>
  </si>
  <si>
    <t>Ханты-Мансийский район</t>
  </si>
  <si>
    <t>Октябрьский район</t>
  </si>
  <si>
    <t>Нижневартовский район</t>
  </si>
  <si>
    <t>Советский район</t>
  </si>
  <si>
    <t>Нефтеюганский район</t>
  </si>
  <si>
    <t>Белоярский район</t>
  </si>
  <si>
    <t>Березовский район</t>
  </si>
  <si>
    <t>Сургутский район</t>
  </si>
  <si>
    <t>Итог</t>
  </si>
  <si>
    <t>Пыть-Ях</t>
  </si>
  <si>
    <t>Березово</t>
  </si>
  <si>
    <t>Количество ФИАС2</t>
  </si>
  <si>
    <t>Разница</t>
  </si>
  <si>
    <t>Разница %</t>
  </si>
  <si>
    <t>Количество ФИАС без ИФНС</t>
  </si>
  <si>
    <t>Разница2</t>
  </si>
  <si>
    <t>Количество 10.08.2018</t>
  </si>
  <si>
    <t>Количество 27.08.20182</t>
  </si>
  <si>
    <t>Количество ФИАС на 02.08.20182</t>
  </si>
  <si>
    <t>Количество ФИАС на 05.07.2018</t>
  </si>
  <si>
    <t>Динамика изменения количеста записей  (02.08.2018 и 27.08.2018)</t>
  </si>
  <si>
    <t>Количество ПОН КС (без месторождений)</t>
  </si>
  <si>
    <t>Количество ПОН КС (с месторождений)</t>
  </si>
  <si>
    <t>Столбец1</t>
  </si>
  <si>
    <t>Столбец2</t>
  </si>
  <si>
    <t>Количество ПОН КС (с месторождениями)</t>
  </si>
  <si>
    <t>Кол-во месторождений</t>
  </si>
  <si>
    <t>Количество 30.08.2018</t>
  </si>
  <si>
    <t>Динамика изменения количеста записей  (02.08.2018 и 30.08.2018)2</t>
  </si>
  <si>
    <t>Количество линейных объектов</t>
  </si>
  <si>
    <t>ПОН КС без линейных</t>
  </si>
  <si>
    <t>В т.ч. Линейные на месторождениях</t>
  </si>
  <si>
    <t>ПОН КС без линейных и месторождений</t>
  </si>
  <si>
    <t>Доля внесенных адресов без линейных</t>
  </si>
  <si>
    <t>Доля внесенных адресов без линейных и месторождений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</si>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</sst>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2" fontId="0" fillId="0" borderId="0" xfId="0" applyNumberFormat="1" applyFont="1"/>
    <xf numFmtId="0" fontId="0" fillId="0" borderId="0" xfId="0" applyNumberFormat="1"/>
    <xf numFmtId="0" fontId="0" fillId="2" borderId="0" xfId="0" applyFill="1"/>
    <xf numFmtId="0" fontId="0" fillId="2" borderId="0" xfId="0" applyFont="1" applyFill="1"/>
    <xf numFmtId="3" fontId="0" fillId="2" borderId="0" xfId="0" applyNumberFormat="1" applyFill="1"/>
    <xf numFmtId="1" fontId="0" fillId="0" borderId="0" xfId="0" applyNumberFormat="1"/>
    <xf numFmtId="1" fontId="0" fillId="0" borderId="0" xfId="0" applyNumberFormat="1" applyFont="1"/>
    <xf numFmtId="0" fontId="0" fillId="3" borderId="0" xfId="0" applyFill="1"/>
    <xf numFmtId="164" fontId="0" fillId="3" borderId="0" xfId="1" applyNumberFormat="1" applyFont="1" applyFill="1"/>
    <xf numFmtId="164" fontId="0" fillId="3" borderId="1" xfId="1" applyNumberFormat="1" applyFont="1" applyFill="1" applyBorder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2" fillId="3" borderId="0" xfId="0" applyFont="1" applyFill="1" applyAlignment="1">
      <alignment vertical="center" wrapText="1"/>
    </xf>
    <xf numFmtId="164" fontId="0" fillId="4" borderId="1" xfId="1" applyNumberFormat="1" applyFont="1" applyFill="1" applyBorder="1"/>
    <xf numFmtId="164" fontId="0" fillId="3" borderId="0" xfId="0" applyNumberFormat="1" applyFont="1" applyFill="1"/>
    <xf numFmtId="164" fontId="1" fillId="3" borderId="0" xfId="0" applyNumberFormat="1" applyFont="1" applyFill="1"/>
    <xf numFmtId="1" fontId="0" fillId="2" borderId="0" xfId="0" applyNumberFormat="1" applyFill="1"/>
    <xf numFmtId="9" fontId="0" fillId="3" borderId="0" xfId="1" applyFont="1" applyFill="1"/>
  </cellXfs>
  <cellStyles count="2">
    <cellStyle name="Обычный" xfId="0" builtinId="0"/>
    <cellStyle name="Процентный" xfId="1" builtinId="5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rgb="FFFFFF0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fill>
        <patternFill patternType="solid">
          <fgColor indexed="64"/>
          <bgColor rgb="FF00B050"/>
        </patternFill>
      </fill>
    </dxf>
    <dxf>
      <numFmt numFmtId="3" formatCode="#,##0"/>
      <fill>
        <patternFill patternType="solid">
          <fgColor indexed="64"/>
          <bgColor rgb="FF00B050"/>
        </patternFill>
      </fill>
    </dxf>
    <dxf>
      <numFmt numFmtId="3" formatCode="#,##0"/>
      <fill>
        <patternFill patternType="solid">
          <fgColor indexed="64"/>
          <bgColor rgb="FF00B05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  <fill>
        <patternFill patternType="solid">
          <fgColor indexed="64"/>
          <bgColor rgb="FF00B050"/>
        </patternFill>
      </fill>
    </dxf>
    <dxf>
      <numFmt numFmtId="3" formatCode="#,##0"/>
      <fill>
        <patternFill patternType="solid">
          <fgColor indexed="64"/>
          <bgColor rgb="FF00B050"/>
        </patternFill>
      </fill>
    </dxf>
    <dxf>
      <numFmt numFmtId="3" formatCode="#,##0"/>
      <fill>
        <patternFill patternType="solid">
          <fgColor indexed="64"/>
          <bgColor rgb="FF00B050"/>
        </patternFill>
      </fill>
    </dxf>
    <dxf>
      <numFmt numFmtId="3" formatCode="#,##0"/>
      <fill>
        <patternFill patternType="solid">
          <fgColor indexed="64"/>
          <bgColor rgb="FF00B050"/>
        </patternFill>
      </fill>
    </dxf>
    <dxf>
      <numFmt numFmtId="3" formatCode="#,##0"/>
      <fill>
        <patternFill patternType="solid">
          <fgColor indexed="64"/>
          <bgColor rgb="FF00B050"/>
        </patternFill>
      </fill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font>
        <i val="0"/>
      </font>
      <numFmt numFmtId="164" formatCode="0.0%"/>
      <fill>
        <patternFill patternType="solid">
          <fgColor indexed="64"/>
          <bgColor rgb="FFFFFF00"/>
        </patternFill>
      </fill>
    </dxf>
    <dxf>
      <font>
        <i val="0"/>
      </font>
      <numFmt numFmtId="0" formatCode="General"/>
      <fill>
        <patternFill patternType="solid">
          <fgColor indexed="64"/>
          <bgColor rgb="FFFFFF00"/>
        </patternFill>
      </fill>
    </dxf>
    <dxf>
      <font>
        <i val="0"/>
      </font>
      <numFmt numFmtId="0" formatCode="General"/>
    </dxf>
    <dxf>
      <font>
        <i val="0"/>
      </font>
    </dxf>
    <dxf>
      <font>
        <i val="0"/>
      </font>
      <numFmt numFmtId="0" formatCode="General"/>
    </dxf>
    <dxf>
      <font>
        <i val="0"/>
      </font>
    </dxf>
    <dxf>
      <font>
        <i val="0"/>
      </font>
    </dxf>
    <dxf>
      <font>
        <i val="0"/>
      </font>
      <numFmt numFmtId="0" formatCode="General"/>
    </dxf>
    <dxf>
      <font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i val="0"/>
      </font>
      <numFmt numFmtId="2" formatCode="0.00"/>
    </dxf>
    <dxf>
      <font>
        <i val="0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i val="0"/>
      </font>
    </dxf>
    <dxf>
      <font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i val="0"/>
      </font>
      <fill>
        <patternFill patternType="solid">
          <fgColor indexed="64"/>
          <bgColor rgb="FF00B050"/>
        </patternFill>
      </fill>
    </dxf>
    <dxf>
      <font>
        <i val="0"/>
      </font>
      <alignment horizontal="left" vertical="bottom" textRotation="0" wrapText="0" indent="0" justifyLastLine="0" shrinkToFit="0" readingOrder="0"/>
    </dxf>
    <dxf>
      <font>
        <i val="0"/>
      </font>
      <alignment horizontal="right" vertical="bottom" textRotation="0" wrapText="0" indent="0" justifyLastLine="0" shrinkToFit="0" readingOrder="0"/>
    </dxf>
    <dxf>
      <font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AA107" totalsRowCount="1" dataDxfId="53">
  <autoFilter ref="A1:AA106">
    <filterColumn colId="0">
      <filters>
        <filter val="8617"/>
      </filters>
    </filterColumn>
  </autoFilter>
  <tableColumns count="27">
    <tableColumn id="1" name="Наименование ИФНС" totalsRowLabel="Итог" dataDxfId="52" totalsRowDxfId="25"/>
    <tableColumn id="2" name="Наименование МО" dataDxfId="51" totalsRowDxfId="24"/>
    <tableColumn id="3" name="Количество ПОН КС (без месторождений)" totalsRowFunction="sum" dataDxfId="50" totalsRowDxfId="23"/>
    <tableColumn id="15" name="Количество ПОН КС (с месторождений)" totalsRowFunction="sum" dataDxfId="49" totalsRowDxfId="22"/>
    <tableColumn id="17" name="Столбец2" dataDxfId="48" totalsRowDxfId="21"/>
    <tableColumn id="18" name="Кол-во месторождений" totalsRowFunction="sum" dataDxfId="47" totalsRowDxfId="20"/>
    <tableColumn id="20" name="Количество ПОН КС (с месторождениями)" totalsRowFunction="sum" dataDxfId="46" totalsRowDxfId="19">
      <calculatedColumnFormula>Таблица1[[#This Row],[Кол-во месторождений]]+Таблица1[[#This Row],[Количество ПОН КС (без месторождений)]]</calculatedColumnFormula>
    </tableColumn>
    <tableColumn id="4" name="Количество ФИАС" totalsRowFunction="sum" dataDxfId="45" totalsRowDxfId="18"/>
    <tableColumn id="5" name="Количество ФИАС2" totalsRowFunction="sum" dataDxfId="44" totalsRowDxfId="17"/>
    <tableColumn id="8" name="Количество ФИАС без ИФНС" totalsRowFunction="sum" dataDxfId="43" totalsRowDxfId="16"/>
    <tableColumn id="6" name="Разница" totalsRowFunction="sum" dataDxfId="42" totalsRowDxfId="15">
      <calculatedColumnFormula>Таблица1[[#This Row],[Количество ФИАС2]]-Таблица1[[#This Row],[Количество ФИАС]]</calculatedColumnFormula>
    </tableColumn>
    <tableColumn id="7" name="Разница %" dataDxfId="41">
      <calculatedColumnFormula>Таблица1[[#This Row],[Количество ФИАС2]]*100/Таблица1[[#This Row],[Количество ПОН КС (без месторождений)]]</calculatedColumnFormula>
    </tableColumn>
    <tableColumn id="19" name="Столбец1" totalsRowFunction="custom" dataDxfId="26" totalsRowDxfId="14">
      <calculatedColumnFormula>Таблица1[[#This Row],[Количество ПОН КС (с месторождений)]]+Таблица1[[#This Row],[Кол-во месторождений]]</calculatedColumnFormula>
      <totalsRowFormula>M92+M93+M94+M95+M96+M97+M98+M99+M100+M101+M102+M103+M104+M105+M106</totalsRowFormula>
    </tableColumn>
    <tableColumn id="13" name="Количество ФИАС на 05.07.2018" totalsRowFunction="sum" dataDxfId="40" totalsRowDxfId="13"/>
    <tableColumn id="23" name="Количество линейных объектов" totalsRowFunction="sum" dataDxfId="39" totalsRowDxfId="12"/>
    <tableColumn id="27" name="В т.ч. Линейные на месторождениях" totalsRowFunction="sum" dataDxfId="38" totalsRowDxfId="11"/>
    <tableColumn id="25" name="ПОН КС без линейных" totalsRowFunction="sum" dataDxfId="37" totalsRowDxfId="10">
      <calculatedColumnFormula>Таблица1[[#This Row],[Количество ПОН КС (с месторождениями)]]-Таблица1[[#This Row],[Количество линейных объектов]]</calculatedColumnFormula>
    </tableColumn>
    <tableColumn id="28" name="ПОН КС без линейных и месторождений" totalsRowFunction="sum" dataDxfId="36" totalsRowDxfId="9">
      <calculatedColumnFormula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calculatedColumnFormula>
    </tableColumn>
    <tableColumn id="9" name="Количество ФИАС на 02.08.20182" totalsRowFunction="sum" dataDxfId="35" totalsRowDxfId="8"/>
    <tableColumn id="10" name="Разница2" totalsRowFunction="sum" dataDxfId="34" totalsRowDxfId="7">
      <calculatedColumnFormula>Таблица1[[#This Row],[Количество ФИАС на 02.08.20182]]-Таблица1[[#This Row],[Количество ФИАС2]]</calculatedColumnFormula>
    </tableColumn>
    <tableColumn id="11" name="Количество 10.08.2018" totalsRowFunction="sum" dataDxfId="33" totalsRowDxfId="6"/>
    <tableColumn id="12" name="Количество 27.08.20182" totalsRowFunction="sum" dataDxfId="32" totalsRowDxfId="5"/>
    <tableColumn id="14" name="Динамика изменения количеста записей  (02.08.2018 и 27.08.2018)" totalsRowFunction="custom" dataDxfId="31" totalsRowDxfId="4">
      <totalsRowFormula>Таблица1[[#Totals],[Количество 27.08.20182]]-Таблица1[[#Totals],[Количество ФИАС на 02.08.20182]]</totalsRowFormula>
    </tableColumn>
    <tableColumn id="21" name="Количество 30.08.2018" totalsRowFunction="sum" dataDxfId="30" totalsRowDxfId="3"/>
    <tableColumn id="16" name="Динамика изменения количеста записей  (02.08.2018 и 30.08.2018)2" totalsRowFunction="custom" dataDxfId="29" totalsRowDxfId="2">
      <calculatedColumnFormula>Таблица1[[#This Row],[Количество 30.08.2018]]-Таблица1[[#This Row],[Количество ФИАС на 02.08.20182]]</calculatedColumnFormula>
      <totalsRowFormula>Y92+Y93+Y94+Y95+Y96+Y98+Y99+Y100+Y101+Y102+Y103+Y104+Y105+Y106</totalsRowFormula>
    </tableColumn>
    <tableColumn id="24" name="Доля внесенных адресов без линейных" totalsRowFunction="custom" dataDxfId="28" totalsRowDxfId="1">
      <calculatedColumnFormula>Таблица1[[#This Row],[Количество 30.08.2018]]/Таблица1[[#This Row],[ПОН КС без линейных]]</calculatedColumnFormula>
      <totalsRowFormula>Таблица1[[#Totals],[Количество 30.08.2018]]/Таблица1[[#Totals],[ПОН КС без линейных]]</totalsRowFormula>
    </tableColumn>
    <tableColumn id="29" name="Доля внесенных адресов без линейных и месторождений" totalsRowFunction="custom" dataDxfId="27" totalsRowDxfId="0" dataCellStyle="Процентный">
      <calculatedColumnFormula>Таблица1[[#This Row],[Количество 30.08.2018]]/Таблица1[[#This Row],[ПОН КС без линейных и месторождений]]</calculatedColumnFormula>
      <totalsRowFormula>Таблица1[[#Totals],[Количество 30.08.2018]]/Таблица1[[#Totals],[ПОН КС без линейных и месторождений]]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0"/>
  <sheetViews>
    <sheetView tabSelected="1" workbookViewId="0"/>
  </sheetViews>
  <sheetFormatPr defaultRowHeight="15" x14ac:dyDescent="0.25"/>
  <cols>
    <col min="1" max="1" width="5.5703125" style="2" customWidth="1"/>
    <col min="2" max="2" width="18" style="1" customWidth="1"/>
    <col min="3" max="3" width="14.85546875" style="9" customWidth="1"/>
    <col min="4" max="4" width="14.28515625" style="9" customWidth="1"/>
    <col min="5" max="5" width="14.140625" style="9" customWidth="1"/>
    <col min="6" max="6" width="9.7109375" style="9" customWidth="1"/>
    <col min="7" max="7" width="13" style="9" customWidth="1"/>
    <col min="8" max="8" width="11.28515625" customWidth="1"/>
    <col min="9" max="9" width="12.5703125" customWidth="1"/>
    <col min="10" max="10" width="9.5703125" customWidth="1"/>
    <col min="11" max="11" width="12.42578125" customWidth="1"/>
    <col min="12" max="12" width="11.140625" customWidth="1"/>
    <col min="13" max="13" width="10.140625" style="12" customWidth="1"/>
    <col min="14" max="14" width="13" customWidth="1"/>
    <col min="15" max="15" width="13.85546875" style="9" customWidth="1"/>
    <col min="16" max="17" width="14.140625" style="9" customWidth="1"/>
    <col min="18" max="18" width="13.42578125" style="9" customWidth="1"/>
    <col min="19" max="19" width="13" customWidth="1"/>
    <col min="20" max="20" width="25.140625" hidden="1" customWidth="1"/>
    <col min="21" max="21" width="11.85546875" customWidth="1"/>
    <col min="22" max="22" width="13.85546875" customWidth="1"/>
    <col min="23" max="23" width="30.7109375" hidden="1" customWidth="1"/>
    <col min="24" max="24" width="13.140625" customWidth="1"/>
    <col min="25" max="25" width="14.85546875" customWidth="1"/>
    <col min="26" max="26" width="19.140625" style="14" customWidth="1"/>
    <col min="27" max="27" width="18.85546875" style="14" customWidth="1"/>
  </cols>
  <sheetData>
    <row r="1" spans="1:27" s="20" customFormat="1" ht="105" customHeight="1" x14ac:dyDescent="0.25">
      <c r="A1" s="17" t="s">
        <v>0</v>
      </c>
      <c r="B1" s="18" t="s">
        <v>1</v>
      </c>
      <c r="C1" s="19" t="s">
        <v>119</v>
      </c>
      <c r="D1" s="19" t="s">
        <v>120</v>
      </c>
      <c r="E1" s="19" t="s">
        <v>122</v>
      </c>
      <c r="F1" s="19" t="s">
        <v>124</v>
      </c>
      <c r="G1" s="19" t="s">
        <v>123</v>
      </c>
      <c r="H1" s="20" t="s">
        <v>2</v>
      </c>
      <c r="I1" s="20" t="s">
        <v>109</v>
      </c>
      <c r="J1" s="20" t="s">
        <v>112</v>
      </c>
      <c r="K1" s="20" t="s">
        <v>110</v>
      </c>
      <c r="L1" s="20" t="s">
        <v>111</v>
      </c>
      <c r="M1" s="21" t="s">
        <v>121</v>
      </c>
      <c r="N1" s="20" t="s">
        <v>117</v>
      </c>
      <c r="O1" s="19" t="s">
        <v>127</v>
      </c>
      <c r="P1" s="19" t="s">
        <v>129</v>
      </c>
      <c r="Q1" s="19" t="s">
        <v>128</v>
      </c>
      <c r="R1" s="19" t="s">
        <v>130</v>
      </c>
      <c r="S1" s="20" t="s">
        <v>116</v>
      </c>
      <c r="T1" t="s">
        <v>113</v>
      </c>
      <c r="U1" s="20" t="s">
        <v>114</v>
      </c>
      <c r="V1" s="20" t="s">
        <v>115</v>
      </c>
      <c r="W1" t="s">
        <v>118</v>
      </c>
      <c r="X1" s="20" t="s">
        <v>125</v>
      </c>
      <c r="Y1" s="20" t="s">
        <v>126</v>
      </c>
      <c r="Z1" s="22" t="s">
        <v>131</v>
      </c>
      <c r="AA1" s="22" t="s">
        <v>132</v>
      </c>
    </row>
    <row r="2" spans="1:27" hidden="1" x14ac:dyDescent="0.25">
      <c r="A2" s="4">
        <v>8601</v>
      </c>
      <c r="B2" s="5" t="s">
        <v>3</v>
      </c>
      <c r="C2" s="10">
        <v>39456</v>
      </c>
      <c r="D2" s="10">
        <v>39614</v>
      </c>
      <c r="E2" s="10">
        <v>39456</v>
      </c>
      <c r="F2" s="10">
        <v>89</v>
      </c>
      <c r="G2" s="10">
        <f>Таблица1[[#This Row],[Кол-во месторождений]]+Таблица1[[#This Row],[Количество ПОН КС (без месторождений)]]</f>
        <v>39545</v>
      </c>
      <c r="H2" s="6">
        <v>19187</v>
      </c>
      <c r="I2" s="6">
        <v>19184</v>
      </c>
      <c r="J2" s="6">
        <v>0</v>
      </c>
      <c r="K2" s="6">
        <f>Таблица1[[#This Row],[Количество ФИАС2]]-Таблица1[[#This Row],[Количество ФИАС]]</f>
        <v>-3</v>
      </c>
      <c r="L2" s="7">
        <f>Таблица1[[#This Row],[Количество ФИАС2]]*100/Таблица1[[#This Row],[Количество ПОН КС (без месторождений)]]</f>
        <v>48.621248986212493</v>
      </c>
      <c r="M2" s="13"/>
      <c r="N2" s="6">
        <v>20713</v>
      </c>
      <c r="O2" s="10">
        <v>467</v>
      </c>
      <c r="P2" s="10">
        <v>0</v>
      </c>
      <c r="Q2" s="10">
        <f>Таблица1[[#This Row],[Количество ПОН КС (с месторождениями)]]-Таблица1[[#This Row],[Количество линейных объектов]]</f>
        <v>39078</v>
      </c>
      <c r="R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38989</v>
      </c>
      <c r="S2" s="6">
        <v>19773</v>
      </c>
      <c r="T2" s="6">
        <f>Таблица1[[#This Row],[Количество ФИАС на 02.08.20182]]-Таблица1[[#This Row],[Количество ФИАС2]]</f>
        <v>589</v>
      </c>
      <c r="U2" s="6">
        <v>21221</v>
      </c>
      <c r="V2" s="6">
        <v>24518</v>
      </c>
      <c r="W2" s="6">
        <f>SUM(Таблица1[[#This Row],[Количество 27.08.20182]]-Таблица1[[#This Row],[Количество ФИАС на 02.08.20182]])</f>
        <v>4745</v>
      </c>
      <c r="X2" s="6">
        <v>24861</v>
      </c>
      <c r="Y2" s="6">
        <f>Таблица1[[#This Row],[Количество 30.08.2018]]-Таблица1[[#This Row],[Количество ФИАС на 02.08.20182]]</f>
        <v>5088</v>
      </c>
      <c r="Z2" s="15">
        <f>Таблица1[[#This Row],[Количество 30.08.2018]]/Таблица1[[#This Row],[ПОН КС без линейных]]</f>
        <v>0.63618916014125593</v>
      </c>
      <c r="AA2" s="15">
        <f>Таблица1[[#This Row],[Количество 30.08.2018]]/Таблица1[[#This Row],[ПОН КС без линейных и месторождений]]</f>
        <v>0.63764138603195775</v>
      </c>
    </row>
    <row r="3" spans="1:27" hidden="1" x14ac:dyDescent="0.25">
      <c r="A3" s="4">
        <v>8601</v>
      </c>
      <c r="B3" s="5" t="s">
        <v>4</v>
      </c>
      <c r="C3" s="10">
        <v>2362</v>
      </c>
      <c r="D3" s="10">
        <v>2725</v>
      </c>
      <c r="E3" s="10">
        <v>2362</v>
      </c>
      <c r="F3" s="10"/>
      <c r="G3" s="10">
        <f>Таблица1[[#This Row],[Кол-во месторождений]]+Таблица1[[#This Row],[Количество ПОН КС (без месторождений)]]</f>
        <v>2362</v>
      </c>
      <c r="H3" s="6">
        <v>2411</v>
      </c>
      <c r="I3" s="6">
        <v>2411</v>
      </c>
      <c r="J3" s="6">
        <v>0</v>
      </c>
      <c r="K3" s="6">
        <f>Таблица1[[#This Row],[Количество ФИАС2]]-Таблица1[[#This Row],[Количество ФИАС]]</f>
        <v>0</v>
      </c>
      <c r="L3" s="7">
        <f>Таблица1[[#This Row],[Количество ФИАС2]]*100/Таблица1[[#This Row],[Количество ПОН КС (без месторождений)]]</f>
        <v>102.07451312447078</v>
      </c>
      <c r="M3" s="13">
        <f>Таблица1[[#This Row],[Количество ПОН КС (с месторождений)]]+Таблица1[[#This Row],[Кол-во месторождений]]</f>
        <v>2725</v>
      </c>
      <c r="N3" s="6">
        <v>2484</v>
      </c>
      <c r="O3" s="10">
        <v>13</v>
      </c>
      <c r="P3" s="10">
        <v>0</v>
      </c>
      <c r="Q3" s="10">
        <f>Таблица1[[#This Row],[Количество ПОН КС (с месторождениями)]]-Таблица1[[#This Row],[Количество линейных объектов]]</f>
        <v>2349</v>
      </c>
      <c r="R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2349</v>
      </c>
      <c r="S3" s="6">
        <v>2411</v>
      </c>
      <c r="T3" s="6">
        <f>Таблица1[[#This Row],[Количество ФИАС на 02.08.20182]]-Таблица1[[#This Row],[Количество ФИАС2]]</f>
        <v>0</v>
      </c>
      <c r="U3" s="6">
        <v>2474</v>
      </c>
      <c r="V3" s="6">
        <v>2524</v>
      </c>
      <c r="W3" s="6">
        <f>SUM(Таблица1[[#This Row],[Количество 27.08.20182]]-Таблица1[[#This Row],[Количество ФИАС на 02.08.20182]])</f>
        <v>113</v>
      </c>
      <c r="X3" s="6">
        <v>2515</v>
      </c>
      <c r="Y3" s="6">
        <f>Таблица1[[#This Row],[Количество 30.08.2018]]-Таблица1[[#This Row],[Количество ФИАС на 02.08.20182]]</f>
        <v>104</v>
      </c>
      <c r="Z3" s="15">
        <f>Таблица1[[#This Row],[Количество 30.08.2018]]/Таблица1[[#This Row],[ПОН КС без линейных]]</f>
        <v>1.0706683695189443</v>
      </c>
      <c r="AA3" s="15">
        <f>Таблица1[[#This Row],[Количество 30.08.2018]]/Таблица1[[#This Row],[ПОН КС без линейных и месторождений]]</f>
        <v>1.0706683695189443</v>
      </c>
    </row>
    <row r="4" spans="1:27" hidden="1" x14ac:dyDescent="0.25">
      <c r="A4" s="4">
        <v>8601</v>
      </c>
      <c r="B4" s="5" t="s">
        <v>5</v>
      </c>
      <c r="C4" s="10">
        <v>294</v>
      </c>
      <c r="D4" s="10">
        <v>398</v>
      </c>
      <c r="E4" s="10">
        <v>294</v>
      </c>
      <c r="F4" s="10"/>
      <c r="G4" s="10">
        <f>Таблица1[[#This Row],[Кол-во месторождений]]+Таблица1[[#This Row],[Количество ПОН КС (без месторождений)]]</f>
        <v>294</v>
      </c>
      <c r="H4" s="6">
        <v>499</v>
      </c>
      <c r="I4" s="6">
        <v>496</v>
      </c>
      <c r="J4" s="6">
        <v>8</v>
      </c>
      <c r="K4" s="6">
        <f>Таблица1[[#This Row],[Количество ФИАС2]]-Таблица1[[#This Row],[Количество ФИАС]]</f>
        <v>-3</v>
      </c>
      <c r="L4" s="7">
        <f>Таблица1[[#This Row],[Количество ФИАС2]]*100/Таблица1[[#This Row],[Количество ПОН КС (без месторождений)]]</f>
        <v>168.70748299319729</v>
      </c>
      <c r="M4" s="13">
        <f>Таблица1[[#This Row],[Количество ПОН КС (с месторождений)]]+Таблица1[[#This Row],[Кол-во месторождений]]</f>
        <v>398</v>
      </c>
      <c r="N4" s="6">
        <v>511</v>
      </c>
      <c r="O4" s="10">
        <v>2</v>
      </c>
      <c r="P4" s="10">
        <v>0</v>
      </c>
      <c r="Q4" s="10">
        <f>Таблица1[[#This Row],[Количество ПОН КС (с месторождениями)]]-Таблица1[[#This Row],[Количество линейных объектов]]</f>
        <v>292</v>
      </c>
      <c r="R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292</v>
      </c>
      <c r="S4" s="6">
        <v>496</v>
      </c>
      <c r="T4" s="6">
        <f>Таблица1[[#This Row],[Количество ФИАС на 02.08.20182]]-Таблица1[[#This Row],[Количество ФИАС2]]</f>
        <v>0</v>
      </c>
      <c r="U4" s="6">
        <v>494</v>
      </c>
      <c r="V4" s="6">
        <v>511</v>
      </c>
      <c r="W4" s="6">
        <f>SUM(Таблица1[[#This Row],[Количество 27.08.20182]]-Таблица1[[#This Row],[Количество ФИАС на 02.08.20182]])</f>
        <v>15</v>
      </c>
      <c r="X4" s="6">
        <v>511</v>
      </c>
      <c r="Y4" s="6">
        <f>Таблица1[[#This Row],[Количество 30.08.2018]]-Таблица1[[#This Row],[Количество ФИАС на 02.08.20182]]</f>
        <v>15</v>
      </c>
      <c r="Z4" s="15">
        <f>Таблица1[[#This Row],[Количество 30.08.2018]]/Таблица1[[#This Row],[ПОН КС без линейных]]</f>
        <v>1.75</v>
      </c>
      <c r="AA4" s="15">
        <f>Таблица1[[#This Row],[Количество 30.08.2018]]/Таблица1[[#This Row],[ПОН КС без линейных и месторождений]]</f>
        <v>1.75</v>
      </c>
    </row>
    <row r="5" spans="1:27" hidden="1" x14ac:dyDescent="0.25">
      <c r="A5" s="4">
        <v>8601</v>
      </c>
      <c r="B5" s="5" t="s">
        <v>6</v>
      </c>
      <c r="C5" s="10">
        <v>356</v>
      </c>
      <c r="D5" s="10">
        <v>766</v>
      </c>
      <c r="E5" s="10">
        <v>356</v>
      </c>
      <c r="F5" s="10"/>
      <c r="G5" s="10">
        <f>Таблица1[[#This Row],[Кол-во месторождений]]+Таблица1[[#This Row],[Количество ПОН КС (без месторождений)]]</f>
        <v>356</v>
      </c>
      <c r="H5" s="6">
        <v>307</v>
      </c>
      <c r="I5" s="6">
        <v>307</v>
      </c>
      <c r="J5" s="6">
        <v>0</v>
      </c>
      <c r="K5" s="6">
        <f>Таблица1[[#This Row],[Количество ФИАС2]]-Таблица1[[#This Row],[Количество ФИАС]]</f>
        <v>0</v>
      </c>
      <c r="L5" s="7">
        <f>Таблица1[[#This Row],[Количество ФИАС2]]*100/Таблица1[[#This Row],[Количество ПОН КС (без месторождений)]]</f>
        <v>86.235955056179776</v>
      </c>
      <c r="M5" s="13">
        <f>Таблица1[[#This Row],[Количество ПОН КС (с месторождений)]]+Таблица1[[#This Row],[Кол-во месторождений]]</f>
        <v>766</v>
      </c>
      <c r="N5" s="6">
        <v>324</v>
      </c>
      <c r="O5" s="10">
        <v>5</v>
      </c>
      <c r="P5" s="10">
        <v>0</v>
      </c>
      <c r="Q5" s="10">
        <f>Таблица1[[#This Row],[Количество ПОН КС (с месторождениями)]]-Таблица1[[#This Row],[Количество линейных объектов]]</f>
        <v>351</v>
      </c>
      <c r="R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351</v>
      </c>
      <c r="S5" s="6">
        <v>307</v>
      </c>
      <c r="T5" s="6">
        <f>Таблица1[[#This Row],[Количество ФИАС на 02.08.20182]]-Таблица1[[#This Row],[Количество ФИАС2]]</f>
        <v>0</v>
      </c>
      <c r="U5" s="6">
        <v>324</v>
      </c>
      <c r="V5" s="6">
        <v>324</v>
      </c>
      <c r="W5" s="6">
        <f>SUM(Таблица1[[#This Row],[Количество 27.08.20182]]-Таблица1[[#This Row],[Количество ФИАС на 02.08.20182]])</f>
        <v>17</v>
      </c>
      <c r="X5" s="6">
        <v>324</v>
      </c>
      <c r="Y5" s="6">
        <f>Таблица1[[#This Row],[Количество 30.08.2018]]-Таблица1[[#This Row],[Количество ФИАС на 02.08.20182]]</f>
        <v>17</v>
      </c>
      <c r="Z5" s="15">
        <f>Таблица1[[#This Row],[Количество 30.08.2018]]/Таблица1[[#This Row],[ПОН КС без линейных]]</f>
        <v>0.92307692307692313</v>
      </c>
      <c r="AA5" s="15">
        <f>Таблица1[[#This Row],[Количество 30.08.2018]]/Таблица1[[#This Row],[ПОН КС без линейных и месторождений]]</f>
        <v>0.92307692307692313</v>
      </c>
    </row>
    <row r="6" spans="1:27" hidden="1" x14ac:dyDescent="0.25">
      <c r="A6" s="4">
        <v>8601</v>
      </c>
      <c r="B6" s="5" t="s">
        <v>7</v>
      </c>
      <c r="C6" s="10">
        <v>630</v>
      </c>
      <c r="D6" s="10">
        <v>1167</v>
      </c>
      <c r="E6" s="10">
        <v>630</v>
      </c>
      <c r="F6" s="10"/>
      <c r="G6" s="10">
        <f>Таблица1[[#This Row],[Кол-во месторождений]]+Таблица1[[#This Row],[Количество ПОН КС (без месторождений)]]</f>
        <v>630</v>
      </c>
      <c r="H6" s="6">
        <v>790</v>
      </c>
      <c r="I6" s="6">
        <v>785</v>
      </c>
      <c r="J6" s="6">
        <v>0</v>
      </c>
      <c r="K6" s="6">
        <f>Таблица1[[#This Row],[Количество ФИАС2]]-Таблица1[[#This Row],[Количество ФИАС]]</f>
        <v>-5</v>
      </c>
      <c r="L6" s="7">
        <f>Таблица1[[#This Row],[Количество ФИАС2]]*100/Таблица1[[#This Row],[Количество ПОН КС (без месторождений)]]</f>
        <v>124.60317460317461</v>
      </c>
      <c r="M6" s="13">
        <f>Таблица1[[#This Row],[Количество ПОН КС (с месторождений)]]+Таблица1[[#This Row],[Кол-во месторождений]]</f>
        <v>1167</v>
      </c>
      <c r="N6" s="6">
        <v>766</v>
      </c>
      <c r="O6" s="10">
        <v>3</v>
      </c>
      <c r="P6" s="10">
        <v>0</v>
      </c>
      <c r="Q6" s="10">
        <f>Таблица1[[#This Row],[Количество ПОН КС (с месторождениями)]]-Таблица1[[#This Row],[Количество линейных объектов]]</f>
        <v>627</v>
      </c>
      <c r="R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627</v>
      </c>
      <c r="S6" s="6">
        <v>785</v>
      </c>
      <c r="T6" s="6">
        <f>Таблица1[[#This Row],[Количество ФИАС на 02.08.20182]]-Таблица1[[#This Row],[Количество ФИАС2]]</f>
        <v>0</v>
      </c>
      <c r="U6" s="6">
        <v>753</v>
      </c>
      <c r="V6" s="6">
        <v>766</v>
      </c>
      <c r="W6" s="6">
        <f>SUM(Таблица1[[#This Row],[Количество 27.08.20182]]-Таблица1[[#This Row],[Количество ФИАС на 02.08.20182]])</f>
        <v>-19</v>
      </c>
      <c r="X6" s="6">
        <v>766</v>
      </c>
      <c r="Y6" s="6">
        <f>Таблица1[[#This Row],[Количество 30.08.2018]]-Таблица1[[#This Row],[Количество ФИАС на 02.08.20182]]</f>
        <v>-19</v>
      </c>
      <c r="Z6" s="15">
        <f>Таблица1[[#This Row],[Количество 30.08.2018]]/Таблица1[[#This Row],[ПОН КС без линейных]]</f>
        <v>1.2216905901116428</v>
      </c>
      <c r="AA6" s="15">
        <f>Таблица1[[#This Row],[Количество 30.08.2018]]/Таблица1[[#This Row],[ПОН КС без линейных и месторождений]]</f>
        <v>1.2216905901116428</v>
      </c>
    </row>
    <row r="7" spans="1:27" hidden="1" x14ac:dyDescent="0.25">
      <c r="A7" s="4">
        <v>8601</v>
      </c>
      <c r="B7" s="5" t="s">
        <v>8</v>
      </c>
      <c r="C7" s="10">
        <v>205</v>
      </c>
      <c r="D7" s="10">
        <v>205</v>
      </c>
      <c r="E7" s="10">
        <v>205</v>
      </c>
      <c r="F7" s="10"/>
      <c r="G7" s="10">
        <f>Таблица1[[#This Row],[Кол-во месторождений]]+Таблица1[[#This Row],[Количество ПОН КС (без месторождений)]]</f>
        <v>205</v>
      </c>
      <c r="H7" s="6">
        <v>295</v>
      </c>
      <c r="I7" s="6">
        <v>293</v>
      </c>
      <c r="J7" s="6">
        <v>0</v>
      </c>
      <c r="K7" s="6">
        <f>Таблица1[[#This Row],[Количество ФИАС2]]-Таблица1[[#This Row],[Количество ФИАС]]</f>
        <v>-2</v>
      </c>
      <c r="L7" s="7">
        <f>Таблица1[[#This Row],[Количество ФИАС2]]*100/Таблица1[[#This Row],[Количество ПОН КС (без месторождений)]]</f>
        <v>142.92682926829269</v>
      </c>
      <c r="M7" s="13">
        <f>Таблица1[[#This Row],[Количество ПОН КС (с месторождений)]]+Таблица1[[#This Row],[Кол-во месторождений]]</f>
        <v>205</v>
      </c>
      <c r="N7" s="6">
        <v>294</v>
      </c>
      <c r="O7" s="10">
        <v>2</v>
      </c>
      <c r="P7" s="10">
        <v>0</v>
      </c>
      <c r="Q7" s="10">
        <f>Таблица1[[#This Row],[Количество ПОН КС (с месторождениями)]]-Таблица1[[#This Row],[Количество линейных объектов]]</f>
        <v>203</v>
      </c>
      <c r="R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203</v>
      </c>
      <c r="S7" s="6">
        <v>293</v>
      </c>
      <c r="T7" s="6">
        <f>Таблица1[[#This Row],[Количество ФИАС на 02.08.20182]]-Таблица1[[#This Row],[Количество ФИАС2]]</f>
        <v>0</v>
      </c>
      <c r="U7" s="6">
        <v>292</v>
      </c>
      <c r="V7" s="6">
        <v>294</v>
      </c>
      <c r="W7" s="6">
        <f>SUM(Таблица1[[#This Row],[Количество 27.08.20182]]-Таблица1[[#This Row],[Количество ФИАС на 02.08.20182]])</f>
        <v>1</v>
      </c>
      <c r="X7" s="6">
        <v>294</v>
      </c>
      <c r="Y7" s="6">
        <f>Таблица1[[#This Row],[Количество 30.08.2018]]-Таблица1[[#This Row],[Количество ФИАС на 02.08.20182]]</f>
        <v>1</v>
      </c>
      <c r="Z7" s="15">
        <f>Таблица1[[#This Row],[Количество 30.08.2018]]/Таблица1[[#This Row],[ПОН КС без линейных]]</f>
        <v>1.4482758620689655</v>
      </c>
      <c r="AA7" s="15">
        <f>Таблица1[[#This Row],[Количество 30.08.2018]]/Таблица1[[#This Row],[ПОН КС без линейных и месторождений]]</f>
        <v>1.4482758620689655</v>
      </c>
    </row>
    <row r="8" spans="1:27" hidden="1" x14ac:dyDescent="0.25">
      <c r="A8" s="4">
        <v>8601</v>
      </c>
      <c r="B8" s="5" t="s">
        <v>9</v>
      </c>
      <c r="C8" s="10">
        <v>262</v>
      </c>
      <c r="D8" s="10">
        <v>365</v>
      </c>
      <c r="E8" s="10">
        <v>262</v>
      </c>
      <c r="F8" s="10"/>
      <c r="G8" s="10">
        <f>Таблица1[[#This Row],[Кол-во месторождений]]+Таблица1[[#This Row],[Количество ПОН КС (без месторождений)]]</f>
        <v>262</v>
      </c>
      <c r="H8" s="6">
        <v>353</v>
      </c>
      <c r="I8" s="6">
        <v>332</v>
      </c>
      <c r="J8" s="6">
        <v>0</v>
      </c>
      <c r="K8" s="6">
        <f>Таблица1[[#This Row],[Количество ФИАС2]]-Таблица1[[#This Row],[Количество ФИАС]]</f>
        <v>-21</v>
      </c>
      <c r="L8" s="7">
        <f>Таблица1[[#This Row],[Количество ФИАС2]]*100/Таблица1[[#This Row],[Количество ПОН КС (без месторождений)]]</f>
        <v>126.7175572519084</v>
      </c>
      <c r="M8" s="13">
        <f>Таблица1[[#This Row],[Количество ПОН КС (с месторождений)]]+Таблица1[[#This Row],[Кол-во месторождений]]</f>
        <v>365</v>
      </c>
      <c r="N8" s="6">
        <v>332</v>
      </c>
      <c r="O8" s="10">
        <v>0</v>
      </c>
      <c r="P8" s="10">
        <v>0</v>
      </c>
      <c r="Q8" s="10">
        <f>Таблица1[[#This Row],[Количество ПОН КС (с месторождениями)]]-Таблица1[[#This Row],[Количество линейных объектов]]</f>
        <v>262</v>
      </c>
      <c r="R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262</v>
      </c>
      <c r="S8" s="6">
        <v>332</v>
      </c>
      <c r="T8" s="6">
        <f>Таблица1[[#This Row],[Количество ФИАС на 02.08.20182]]-Таблица1[[#This Row],[Количество ФИАС2]]</f>
        <v>0</v>
      </c>
      <c r="U8" s="6">
        <v>330</v>
      </c>
      <c r="V8" s="6">
        <v>333</v>
      </c>
      <c r="W8" s="6">
        <f>SUM(Таблица1[[#This Row],[Количество 27.08.20182]]-Таблица1[[#This Row],[Количество ФИАС на 02.08.20182]])</f>
        <v>1</v>
      </c>
      <c r="X8" s="6">
        <v>333</v>
      </c>
      <c r="Y8" s="6">
        <f>Таблица1[[#This Row],[Количество 30.08.2018]]-Таблица1[[#This Row],[Количество ФИАС на 02.08.20182]]</f>
        <v>1</v>
      </c>
      <c r="Z8" s="15">
        <f>Таблица1[[#This Row],[Количество 30.08.2018]]/Таблица1[[#This Row],[ПОН КС без линейных]]</f>
        <v>1.2709923664122138</v>
      </c>
      <c r="AA8" s="15">
        <f>Таблица1[[#This Row],[Количество 30.08.2018]]/Таблица1[[#This Row],[ПОН КС без линейных и месторождений]]</f>
        <v>1.2709923664122138</v>
      </c>
    </row>
    <row r="9" spans="1:27" hidden="1" x14ac:dyDescent="0.25">
      <c r="A9" s="4">
        <v>8601</v>
      </c>
      <c r="B9" s="5" t="s">
        <v>10</v>
      </c>
      <c r="C9" s="10">
        <v>221</v>
      </c>
      <c r="D9" s="10">
        <v>241</v>
      </c>
      <c r="E9" s="10">
        <v>221</v>
      </c>
      <c r="F9" s="10"/>
      <c r="G9" s="10">
        <f>Таблица1[[#This Row],[Кол-во месторождений]]+Таблица1[[#This Row],[Количество ПОН КС (без месторождений)]]</f>
        <v>221</v>
      </c>
      <c r="H9" s="6">
        <v>286</v>
      </c>
      <c r="I9" s="6">
        <v>295</v>
      </c>
      <c r="J9" s="6">
        <v>0</v>
      </c>
      <c r="K9" s="6">
        <f>Таблица1[[#This Row],[Количество ФИАС2]]-Таблица1[[#This Row],[Количество ФИАС]]</f>
        <v>9</v>
      </c>
      <c r="L9" s="7">
        <f>Таблица1[[#This Row],[Количество ФИАС2]]*100/Таблица1[[#This Row],[Количество ПОН КС (без месторождений)]]</f>
        <v>133.4841628959276</v>
      </c>
      <c r="M9" s="13">
        <f>Таблица1[[#This Row],[Количество ПОН КС (с месторождений)]]+Таблица1[[#This Row],[Кол-во месторождений]]</f>
        <v>241</v>
      </c>
      <c r="N9" s="6">
        <v>282</v>
      </c>
      <c r="O9" s="10">
        <v>2</v>
      </c>
      <c r="P9" s="10">
        <v>0</v>
      </c>
      <c r="Q9" s="10">
        <f>Таблица1[[#This Row],[Количество ПОН КС (с месторождениями)]]-Таблица1[[#This Row],[Количество линейных объектов]]</f>
        <v>219</v>
      </c>
      <c r="R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219</v>
      </c>
      <c r="S9" s="6">
        <v>295</v>
      </c>
      <c r="T9" s="6">
        <f>Таблица1[[#This Row],[Количество ФИАС на 02.08.20182]]-Таблица1[[#This Row],[Количество ФИАС2]]</f>
        <v>0</v>
      </c>
      <c r="U9" s="6">
        <v>282</v>
      </c>
      <c r="V9" s="6">
        <v>280</v>
      </c>
      <c r="W9" s="6">
        <f>SUM(Таблица1[[#This Row],[Количество 27.08.20182]]-Таблица1[[#This Row],[Количество ФИАС на 02.08.20182]])</f>
        <v>-15</v>
      </c>
      <c r="X9" s="6">
        <v>280</v>
      </c>
      <c r="Y9" s="6">
        <f>Таблица1[[#This Row],[Количество 30.08.2018]]-Таблица1[[#This Row],[Количество ФИАС на 02.08.20182]]</f>
        <v>-15</v>
      </c>
      <c r="Z9" s="15">
        <f>Таблица1[[#This Row],[Количество 30.08.2018]]/Таблица1[[#This Row],[ПОН КС без линейных]]</f>
        <v>1.2785388127853881</v>
      </c>
      <c r="AA9" s="15">
        <f>Таблица1[[#This Row],[Количество 30.08.2018]]/Таблица1[[#This Row],[ПОН КС без линейных и месторождений]]</f>
        <v>1.2785388127853881</v>
      </c>
    </row>
    <row r="10" spans="1:27" hidden="1" x14ac:dyDescent="0.25">
      <c r="A10" s="4">
        <v>8601</v>
      </c>
      <c r="B10" s="5" t="s">
        <v>11</v>
      </c>
      <c r="C10" s="10">
        <v>238</v>
      </c>
      <c r="D10" s="10">
        <v>461</v>
      </c>
      <c r="E10" s="10">
        <v>238</v>
      </c>
      <c r="F10" s="10"/>
      <c r="G10" s="10">
        <f>Таблица1[[#This Row],[Кол-во месторождений]]+Таблица1[[#This Row],[Количество ПОН КС (без месторождений)]]</f>
        <v>238</v>
      </c>
      <c r="H10" s="6">
        <v>330</v>
      </c>
      <c r="I10" s="6">
        <v>330</v>
      </c>
      <c r="J10" s="6">
        <v>0</v>
      </c>
      <c r="K10" s="6">
        <f>Таблица1[[#This Row],[Количество ФИАС2]]-Таблица1[[#This Row],[Количество ФИАС]]</f>
        <v>0</v>
      </c>
      <c r="L10" s="7">
        <f>Таблица1[[#This Row],[Количество ФИАС2]]*100/Таблица1[[#This Row],[Количество ПОН КС (без месторождений)]]</f>
        <v>138.65546218487395</v>
      </c>
      <c r="M10" s="13">
        <f>Таблица1[[#This Row],[Количество ПОН КС (с месторождений)]]+Таблица1[[#This Row],[Кол-во месторождений]]</f>
        <v>461</v>
      </c>
      <c r="N10" s="6">
        <v>330</v>
      </c>
      <c r="O10" s="10">
        <v>2</v>
      </c>
      <c r="P10" s="10">
        <v>0</v>
      </c>
      <c r="Q10" s="10">
        <f>Таблица1[[#This Row],[Количество ПОН КС (с месторождениями)]]-Таблица1[[#This Row],[Количество линейных объектов]]</f>
        <v>236</v>
      </c>
      <c r="R1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236</v>
      </c>
      <c r="S10" s="6">
        <v>330</v>
      </c>
      <c r="T10" s="6">
        <f>Таблица1[[#This Row],[Количество ФИАС на 02.08.20182]]-Таблица1[[#This Row],[Количество ФИАС2]]</f>
        <v>0</v>
      </c>
      <c r="U10" s="6">
        <v>330</v>
      </c>
      <c r="V10" s="6">
        <v>330</v>
      </c>
      <c r="W10" s="6">
        <f>SUM(Таблица1[[#This Row],[Количество 27.08.20182]]-Таблица1[[#This Row],[Количество ФИАС на 02.08.20182]])</f>
        <v>0</v>
      </c>
      <c r="X10" s="6">
        <v>330</v>
      </c>
      <c r="Y10" s="6">
        <f>Таблица1[[#This Row],[Количество 30.08.2018]]-Таблица1[[#This Row],[Количество ФИАС на 02.08.20182]]</f>
        <v>0</v>
      </c>
      <c r="Z10" s="15">
        <f>Таблица1[[#This Row],[Количество 30.08.2018]]/Таблица1[[#This Row],[ПОН КС без линейных]]</f>
        <v>1.3983050847457628</v>
      </c>
      <c r="AA10" s="15">
        <f>Таблица1[[#This Row],[Количество 30.08.2018]]/Таблица1[[#This Row],[ПОН КС без линейных и месторождений]]</f>
        <v>1.3983050847457628</v>
      </c>
    </row>
    <row r="11" spans="1:27" hidden="1" x14ac:dyDescent="0.25">
      <c r="A11" s="4">
        <v>8601</v>
      </c>
      <c r="B11" s="5" t="s">
        <v>12</v>
      </c>
      <c r="C11" s="10">
        <v>109</v>
      </c>
      <c r="D11" s="10">
        <v>109</v>
      </c>
      <c r="E11" s="10">
        <v>109</v>
      </c>
      <c r="F11" s="10"/>
      <c r="G11" s="10">
        <f>Таблица1[[#This Row],[Кол-во месторождений]]+Таблица1[[#This Row],[Количество ПОН КС (без месторождений)]]</f>
        <v>109</v>
      </c>
      <c r="H11" s="6">
        <v>181</v>
      </c>
      <c r="I11" s="6">
        <v>180</v>
      </c>
      <c r="J11" s="6">
        <v>0</v>
      </c>
      <c r="K11" s="6">
        <f>Таблица1[[#This Row],[Количество ФИАС2]]-Таблица1[[#This Row],[Количество ФИАС]]</f>
        <v>-1</v>
      </c>
      <c r="L11" s="7">
        <f>Таблица1[[#This Row],[Количество ФИАС2]]*100/Таблица1[[#This Row],[Количество ПОН КС (без месторождений)]]</f>
        <v>165.13761467889907</v>
      </c>
      <c r="M11" s="13">
        <f>Таблица1[[#This Row],[Количество ПОН КС (с месторождений)]]+Таблица1[[#This Row],[Кол-во месторождений]]</f>
        <v>109</v>
      </c>
      <c r="N11" s="6">
        <v>178</v>
      </c>
      <c r="O11" s="10">
        <v>6</v>
      </c>
      <c r="P11" s="10">
        <v>0</v>
      </c>
      <c r="Q11" s="10">
        <f>Таблица1[[#This Row],[Количество ПОН КС (с месторождениями)]]-Таблица1[[#This Row],[Количество линейных объектов]]</f>
        <v>103</v>
      </c>
      <c r="R1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103</v>
      </c>
      <c r="S11" s="6">
        <v>180</v>
      </c>
      <c r="T11" s="6">
        <f>Таблица1[[#This Row],[Количество ФИАС на 02.08.20182]]-Таблица1[[#This Row],[Количество ФИАС2]]</f>
        <v>0</v>
      </c>
      <c r="U11" s="6">
        <v>177</v>
      </c>
      <c r="V11" s="6">
        <v>183</v>
      </c>
      <c r="W11" s="6">
        <f>SUM(Таблица1[[#This Row],[Количество 27.08.20182]]-Таблица1[[#This Row],[Количество ФИАС на 02.08.20182]])</f>
        <v>3</v>
      </c>
      <c r="X11" s="6">
        <v>196</v>
      </c>
      <c r="Y11" s="6">
        <f>Таблица1[[#This Row],[Количество 30.08.2018]]-Таблица1[[#This Row],[Количество ФИАС на 02.08.20182]]</f>
        <v>16</v>
      </c>
      <c r="Z11" s="15">
        <f>Таблица1[[#This Row],[Количество 30.08.2018]]/Таблица1[[#This Row],[ПОН КС без линейных]]</f>
        <v>1.9029126213592233</v>
      </c>
      <c r="AA11" s="15">
        <f>Таблица1[[#This Row],[Количество 30.08.2018]]/Таблица1[[#This Row],[ПОН КС без линейных и месторождений]]</f>
        <v>1.9029126213592233</v>
      </c>
    </row>
    <row r="12" spans="1:27" hidden="1" x14ac:dyDescent="0.25">
      <c r="A12" s="4">
        <v>8601</v>
      </c>
      <c r="B12" s="5" t="s">
        <v>13</v>
      </c>
      <c r="C12" s="10">
        <v>154</v>
      </c>
      <c r="D12" s="10">
        <v>226</v>
      </c>
      <c r="E12" s="10">
        <v>154</v>
      </c>
      <c r="F12" s="10"/>
      <c r="G12" s="10">
        <f>Таблица1[[#This Row],[Кол-во месторождений]]+Таблица1[[#This Row],[Количество ПОН КС (без месторождений)]]</f>
        <v>154</v>
      </c>
      <c r="H12" s="6">
        <v>224</v>
      </c>
      <c r="I12" s="6">
        <v>224</v>
      </c>
      <c r="J12" s="6">
        <v>0</v>
      </c>
      <c r="K12" s="6">
        <f>Таблица1[[#This Row],[Количество ФИАС2]]-Таблица1[[#This Row],[Количество ФИАС]]</f>
        <v>0</v>
      </c>
      <c r="L12" s="7">
        <f>Таблица1[[#This Row],[Количество ФИАС2]]*100/Таблица1[[#This Row],[Количество ПОН КС (без месторождений)]]</f>
        <v>145.45454545454547</v>
      </c>
      <c r="M12" s="13">
        <f>Таблица1[[#This Row],[Количество ПОН КС (с месторождений)]]+Таблица1[[#This Row],[Кол-во месторождений]]</f>
        <v>226</v>
      </c>
      <c r="N12" s="6">
        <v>223</v>
      </c>
      <c r="O12" s="10">
        <v>1</v>
      </c>
      <c r="P12" s="10">
        <v>0</v>
      </c>
      <c r="Q12" s="10">
        <f>Таблица1[[#This Row],[Количество ПОН КС (с месторождениями)]]-Таблица1[[#This Row],[Количество линейных объектов]]</f>
        <v>153</v>
      </c>
      <c r="R1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153</v>
      </c>
      <c r="S12" s="6">
        <v>224</v>
      </c>
      <c r="T12" s="6">
        <f>Таблица1[[#This Row],[Количество ФИАС на 02.08.20182]]-Таблица1[[#This Row],[Количество ФИАС2]]</f>
        <v>0</v>
      </c>
      <c r="U12" s="6">
        <v>223</v>
      </c>
      <c r="V12" s="6">
        <v>223</v>
      </c>
      <c r="W12" s="6">
        <f>SUM(Таблица1[[#This Row],[Количество 27.08.20182]]-Таблица1[[#This Row],[Количество ФИАС на 02.08.20182]])</f>
        <v>-1</v>
      </c>
      <c r="X12" s="6">
        <v>223</v>
      </c>
      <c r="Y12" s="6">
        <f>Таблица1[[#This Row],[Количество 30.08.2018]]-Таблица1[[#This Row],[Количество ФИАС на 02.08.20182]]</f>
        <v>-1</v>
      </c>
      <c r="Z12" s="15">
        <f>Таблица1[[#This Row],[Количество 30.08.2018]]/Таблица1[[#This Row],[ПОН КС без линейных]]</f>
        <v>1.457516339869281</v>
      </c>
      <c r="AA12" s="15">
        <f>Таблица1[[#This Row],[Количество 30.08.2018]]/Таблица1[[#This Row],[ПОН КС без линейных и месторождений]]</f>
        <v>1.457516339869281</v>
      </c>
    </row>
    <row r="13" spans="1:27" hidden="1" x14ac:dyDescent="0.25">
      <c r="A13" s="4">
        <v>8601</v>
      </c>
      <c r="B13" s="5" t="s">
        <v>14</v>
      </c>
      <c r="C13" s="10">
        <v>147</v>
      </c>
      <c r="D13" s="10">
        <v>206</v>
      </c>
      <c r="E13" s="10">
        <v>147</v>
      </c>
      <c r="F13" s="10"/>
      <c r="G13" s="10">
        <f>Таблица1[[#This Row],[Кол-во месторождений]]+Таблица1[[#This Row],[Количество ПОН КС (без месторождений)]]</f>
        <v>147</v>
      </c>
      <c r="H13" s="6">
        <v>239</v>
      </c>
      <c r="I13" s="6">
        <v>239</v>
      </c>
      <c r="J13" s="6">
        <v>0</v>
      </c>
      <c r="K13" s="6">
        <f>Таблица1[[#This Row],[Количество ФИАС2]]-Таблица1[[#This Row],[Количество ФИАС]]</f>
        <v>0</v>
      </c>
      <c r="L13" s="7">
        <f>Таблица1[[#This Row],[Количество ФИАС2]]*100/Таблица1[[#This Row],[Количество ПОН КС (без месторождений)]]</f>
        <v>162.58503401360545</v>
      </c>
      <c r="M13" s="13">
        <f>Таблица1[[#This Row],[Количество ПОН КС (с месторождений)]]+Таблица1[[#This Row],[Кол-во месторождений]]</f>
        <v>206</v>
      </c>
      <c r="N13" s="6">
        <v>237</v>
      </c>
      <c r="O13" s="10">
        <v>3</v>
      </c>
      <c r="P13" s="10">
        <v>1</v>
      </c>
      <c r="Q13" s="10">
        <f>Таблица1[[#This Row],[Количество ПОН КС (с месторождениями)]]-Таблица1[[#This Row],[Количество линейных объектов]]</f>
        <v>144</v>
      </c>
      <c r="R1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145</v>
      </c>
      <c r="S13" s="6">
        <v>239</v>
      </c>
      <c r="T13" s="6">
        <f>Таблица1[[#This Row],[Количество ФИАС на 02.08.20182]]-Таблица1[[#This Row],[Количество ФИАС2]]</f>
        <v>0</v>
      </c>
      <c r="U13" s="6">
        <v>237</v>
      </c>
      <c r="V13" s="6">
        <v>237</v>
      </c>
      <c r="W13" s="6">
        <f>SUM(Таблица1[[#This Row],[Количество 27.08.20182]]-Таблица1[[#This Row],[Количество ФИАС на 02.08.20182]])</f>
        <v>-2</v>
      </c>
      <c r="X13" s="6">
        <v>237</v>
      </c>
      <c r="Y13" s="6">
        <f>Таблица1[[#This Row],[Количество 30.08.2018]]-Таблица1[[#This Row],[Количество ФИАС на 02.08.20182]]</f>
        <v>-2</v>
      </c>
      <c r="Z13" s="15">
        <f>Таблица1[[#This Row],[Количество 30.08.2018]]/Таблица1[[#This Row],[ПОН КС без линейных]]</f>
        <v>1.6458333333333333</v>
      </c>
      <c r="AA13" s="15">
        <f>Таблица1[[#This Row],[Количество 30.08.2018]]/Таблица1[[#This Row],[ПОН КС без линейных и месторождений]]</f>
        <v>1.6344827586206896</v>
      </c>
    </row>
    <row r="14" spans="1:27" hidden="1" x14ac:dyDescent="0.25">
      <c r="A14" s="4">
        <v>8601</v>
      </c>
      <c r="B14" s="5" t="s">
        <v>15</v>
      </c>
      <c r="C14" s="10">
        <v>316</v>
      </c>
      <c r="D14" s="10">
        <v>338</v>
      </c>
      <c r="E14" s="10">
        <v>316</v>
      </c>
      <c r="F14" s="10"/>
      <c r="G14" s="10">
        <f>Таблица1[[#This Row],[Кол-во месторождений]]+Таблица1[[#This Row],[Количество ПОН КС (без месторождений)]]</f>
        <v>316</v>
      </c>
      <c r="H14" s="6">
        <v>376</v>
      </c>
      <c r="I14" s="6">
        <v>374</v>
      </c>
      <c r="J14" s="6">
        <v>0</v>
      </c>
      <c r="K14" s="6">
        <f>Таблица1[[#This Row],[Количество ФИАС2]]-Таблица1[[#This Row],[Количество ФИАС]]</f>
        <v>-2</v>
      </c>
      <c r="L14" s="7">
        <f>Таблица1[[#This Row],[Количество ФИАС2]]*100/Таблица1[[#This Row],[Количество ПОН КС (без месторождений)]]</f>
        <v>118.35443037974683</v>
      </c>
      <c r="M14" s="13">
        <f>Таблица1[[#This Row],[Количество ПОН КС (с месторождений)]]+Таблица1[[#This Row],[Кол-во месторождений]]</f>
        <v>338</v>
      </c>
      <c r="N14" s="6">
        <v>353</v>
      </c>
      <c r="O14" s="10">
        <v>1</v>
      </c>
      <c r="P14" s="10">
        <v>0</v>
      </c>
      <c r="Q14" s="10">
        <f>Таблица1[[#This Row],[Количество ПОН КС (с месторождениями)]]-Таблица1[[#This Row],[Количество линейных объектов]]</f>
        <v>315</v>
      </c>
      <c r="R1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315</v>
      </c>
      <c r="S14" s="6">
        <v>374</v>
      </c>
      <c r="T14" s="6">
        <f>Таблица1[[#This Row],[Количество ФИАС на 02.08.20182]]-Таблица1[[#This Row],[Количество ФИАС2]]</f>
        <v>0</v>
      </c>
      <c r="U14" s="6">
        <v>351</v>
      </c>
      <c r="V14" s="6">
        <v>353</v>
      </c>
      <c r="W14" s="6">
        <f>SUM(Таблица1[[#This Row],[Количество 27.08.20182]]-Таблица1[[#This Row],[Количество ФИАС на 02.08.20182]])</f>
        <v>-21</v>
      </c>
      <c r="X14" s="6">
        <v>353</v>
      </c>
      <c r="Y14" s="6">
        <f>Таблица1[[#This Row],[Количество 30.08.2018]]-Таблица1[[#This Row],[Количество ФИАС на 02.08.20182]]</f>
        <v>-21</v>
      </c>
      <c r="Z14" s="15">
        <f>Таблица1[[#This Row],[Количество 30.08.2018]]/Таблица1[[#This Row],[ПОН КС без линейных]]</f>
        <v>1.1206349206349207</v>
      </c>
      <c r="AA14" s="15">
        <f>Таблица1[[#This Row],[Количество 30.08.2018]]/Таблица1[[#This Row],[ПОН КС без линейных и месторождений]]</f>
        <v>1.1206349206349207</v>
      </c>
    </row>
    <row r="15" spans="1:27" hidden="1" x14ac:dyDescent="0.25">
      <c r="A15" s="4">
        <v>8601</v>
      </c>
      <c r="B15" s="5" t="s">
        <v>98</v>
      </c>
      <c r="C15" s="10">
        <v>6612</v>
      </c>
      <c r="D15" s="10">
        <v>9827</v>
      </c>
      <c r="E15" s="10">
        <v>6612</v>
      </c>
      <c r="F15" s="10">
        <v>5010</v>
      </c>
      <c r="G15" s="10">
        <f>Таблица1[[#This Row],[Кол-во месторождений]]+Таблица1[[#This Row],[Количество ПОН КС (без месторождений)]]</f>
        <v>11622</v>
      </c>
      <c r="H15" s="6">
        <v>2512</v>
      </c>
      <c r="I15" s="6">
        <v>2500</v>
      </c>
      <c r="J15" s="6">
        <v>0</v>
      </c>
      <c r="K15" s="6">
        <f>Таблица1[[#This Row],[Количество ФИАС2]]-Таблица1[[#This Row],[Количество ФИАС]]</f>
        <v>-12</v>
      </c>
      <c r="L15" s="7">
        <f>Таблица1[[#This Row],[Количество ФИАС2]]*100/Таблица1[[#This Row],[Количество ПОН КС (без месторождений)]]</f>
        <v>37.810042347247432</v>
      </c>
      <c r="M15" s="13">
        <f>Таблица1[[#This Row],[Количество ПОН КС (с месторождений)]]+Таблица1[[#This Row],[Кол-во месторождений]]</f>
        <v>14837</v>
      </c>
      <c r="N15" s="6">
        <v>2494</v>
      </c>
      <c r="O15" s="10">
        <v>1158</v>
      </c>
      <c r="P15" s="10">
        <v>240</v>
      </c>
      <c r="Q15" s="10">
        <f>Таблица1[[#This Row],[Количество ПОН КС (с месторождениями)]]-Таблица1[[#This Row],[Количество линейных объектов]]</f>
        <v>10464</v>
      </c>
      <c r="R1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5694</v>
      </c>
      <c r="S15" s="6">
        <v>2500</v>
      </c>
      <c r="T15" s="6">
        <f>Таблица1[[#This Row],[Количество ФИАС на 02.08.20182]]-Таблица1[[#This Row],[Количество ФИАС2]]</f>
        <v>0</v>
      </c>
      <c r="U15" s="6">
        <v>2451</v>
      </c>
      <c r="V15" s="6">
        <v>2496</v>
      </c>
      <c r="W15" s="6">
        <f>SUM(Таблица1[[#This Row],[Количество 27.08.20182]]-Таблица1[[#This Row],[Количество ФИАС на 02.08.20182]])</f>
        <v>-4</v>
      </c>
      <c r="X15" s="6">
        <v>2496</v>
      </c>
      <c r="Y15" s="6">
        <f>Таблица1[[#This Row],[Количество 30.08.2018]]-Таблица1[[#This Row],[Количество ФИАС на 02.08.20182]]</f>
        <v>-4</v>
      </c>
      <c r="Z15" s="15">
        <f>Таблица1[[#This Row],[Количество 30.08.2018]]/Таблица1[[#This Row],[ПОН КС без линейных]]</f>
        <v>0.23853211009174313</v>
      </c>
      <c r="AA15" s="15">
        <f>Таблица1[[#This Row],[Количество 30.08.2018]]/Таблица1[[#This Row],[ПОН КС без линейных и месторождений]]</f>
        <v>0.43835616438356162</v>
      </c>
    </row>
    <row r="16" spans="1:27" hidden="1" x14ac:dyDescent="0.25">
      <c r="A16" s="4">
        <v>8606</v>
      </c>
      <c r="B16" s="5" t="s">
        <v>16</v>
      </c>
      <c r="C16" s="10">
        <v>19838</v>
      </c>
      <c r="D16" s="10">
        <v>19861</v>
      </c>
      <c r="E16" s="10">
        <v>19838</v>
      </c>
      <c r="F16" s="10">
        <v>16</v>
      </c>
      <c r="G16" s="10">
        <f>Таблица1[[#This Row],[Кол-во месторождений]]+Таблица1[[#This Row],[Количество ПОН КС (без месторождений)]]</f>
        <v>19854</v>
      </c>
      <c r="H16" s="6">
        <v>2442</v>
      </c>
      <c r="I16" s="6">
        <v>2198</v>
      </c>
      <c r="J16" s="6">
        <v>0</v>
      </c>
      <c r="K16" s="6">
        <f>Таблица1[[#This Row],[Количество ФИАС2]]-Таблица1[[#This Row],[Количество ФИАС]]</f>
        <v>-244</v>
      </c>
      <c r="L16" s="7">
        <f>Таблица1[[#This Row],[Количество ФИАС2]]*100/Таблица1[[#This Row],[Количество ПОН КС (без месторождений)]]</f>
        <v>11.079745942131263</v>
      </c>
      <c r="M16" s="13">
        <f>Таблица1[[#This Row],[Количество ПОН КС (с месторождений)]]+Таблица1[[#This Row],[Кол-во месторождений]]</f>
        <v>19877</v>
      </c>
      <c r="N16" s="6">
        <v>2650</v>
      </c>
      <c r="O16" s="10">
        <v>206</v>
      </c>
      <c r="P16" s="10">
        <v>0</v>
      </c>
      <c r="Q16" s="10">
        <f>Таблица1[[#This Row],[Количество ПОН КС (с месторождениями)]]-Таблица1[[#This Row],[Количество линейных объектов]]</f>
        <v>19648</v>
      </c>
      <c r="R1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19632</v>
      </c>
      <c r="S16" s="6">
        <v>2529</v>
      </c>
      <c r="T16" s="6">
        <f>Таблица1[[#This Row],[Количество ФИАС на 02.08.20182]]-Таблица1[[#This Row],[Количество ФИАС2]]</f>
        <v>331</v>
      </c>
      <c r="U16" s="6">
        <v>4333</v>
      </c>
      <c r="V16" s="6">
        <v>12276</v>
      </c>
      <c r="W16" s="6">
        <f>SUM(Таблица1[[#This Row],[Количество 27.08.20182]]-Таблица1[[#This Row],[Количество ФИАС на 02.08.20182]])</f>
        <v>9747</v>
      </c>
      <c r="X16" s="6">
        <v>14032</v>
      </c>
      <c r="Y16" s="6">
        <f>Таблица1[[#This Row],[Количество 30.08.2018]]-Таблица1[[#This Row],[Количество ФИАС на 02.08.20182]]</f>
        <v>11503</v>
      </c>
      <c r="Z16" s="15">
        <f>Таблица1[[#This Row],[Количество 30.08.2018]]/Таблица1[[#This Row],[ПОН КС без линейных]]</f>
        <v>0.71416938110749184</v>
      </c>
      <c r="AA16" s="15">
        <f>Таблица1[[#This Row],[Количество 30.08.2018]]/Таблица1[[#This Row],[ПОН КС без линейных и месторождений]]</f>
        <v>0.7147514262428688</v>
      </c>
    </row>
    <row r="17" spans="1:27" hidden="1" x14ac:dyDescent="0.25">
      <c r="A17" s="4">
        <v>8606</v>
      </c>
      <c r="B17" s="5" t="s">
        <v>97</v>
      </c>
      <c r="C17" s="10">
        <v>2651</v>
      </c>
      <c r="D17" s="10">
        <v>917</v>
      </c>
      <c r="E17" s="10">
        <v>2651</v>
      </c>
      <c r="F17" s="10">
        <v>362</v>
      </c>
      <c r="G17" s="10">
        <f>Таблица1[[#This Row],[Кол-во месторождений]]+Таблица1[[#This Row],[Количество ПОН КС (без месторождений)]]</f>
        <v>3013</v>
      </c>
      <c r="H17" s="6">
        <v>2173</v>
      </c>
      <c r="I17" s="6">
        <v>2149</v>
      </c>
      <c r="J17" s="6">
        <v>29</v>
      </c>
      <c r="K17" s="6">
        <f>Таблица1[[#This Row],[Количество ФИАС2]]-Таблица1[[#This Row],[Количество ФИАС]]</f>
        <v>-24</v>
      </c>
      <c r="L17" s="7">
        <f>Таблица1[[#This Row],[Количество ФИАС2]]*100/Таблица1[[#This Row],[Количество ПОН КС (без месторождений)]]</f>
        <v>81.063749528479818</v>
      </c>
      <c r="M17" s="13">
        <f>Таблица1[[#This Row],[Количество ПОН КС (с месторождений)]]+Таблица1[[#This Row],[Кол-во месторождений]]</f>
        <v>1279</v>
      </c>
      <c r="N17" s="6">
        <v>2241</v>
      </c>
      <c r="O17" s="10">
        <v>139</v>
      </c>
      <c r="P17" s="10">
        <v>8</v>
      </c>
      <c r="Q17" s="10">
        <f>Таблица1[[#This Row],[Количество ПОН КС (с месторождениями)]]-Таблица1[[#This Row],[Количество линейных объектов]]</f>
        <v>2874</v>
      </c>
      <c r="R1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2520</v>
      </c>
      <c r="S17" s="6">
        <v>2150</v>
      </c>
      <c r="T17" s="6">
        <f>Таблица1[[#This Row],[Количество ФИАС на 02.08.20182]]-Таблица1[[#This Row],[Количество ФИАС2]]</f>
        <v>1</v>
      </c>
      <c r="U17" s="6">
        <v>2170</v>
      </c>
      <c r="V17" s="6">
        <v>2229</v>
      </c>
      <c r="W17" s="6">
        <f>SUM(Таблица1[[#This Row],[Количество 27.08.20182]]-Таблица1[[#This Row],[Количество ФИАС на 02.08.20182]])</f>
        <v>79</v>
      </c>
      <c r="X17" s="6">
        <v>2229</v>
      </c>
      <c r="Y17" s="6">
        <f>Таблица1[[#This Row],[Количество 30.08.2018]]-Таблица1[[#This Row],[Количество ФИАС на 02.08.20182]]</f>
        <v>79</v>
      </c>
      <c r="Z17" s="15">
        <f>Таблица1[[#This Row],[Количество 30.08.2018]]/Таблица1[[#This Row],[ПОН КС без линейных]]</f>
        <v>0.77557411273486432</v>
      </c>
      <c r="AA17" s="15">
        <f>Таблица1[[#This Row],[Количество 30.08.2018]]/Таблица1[[#This Row],[ПОН КС без линейных и месторождений]]</f>
        <v>0.88452380952380949</v>
      </c>
    </row>
    <row r="18" spans="1:27" hidden="1" x14ac:dyDescent="0.25">
      <c r="A18" s="4">
        <v>8606</v>
      </c>
      <c r="B18" s="5" t="s">
        <v>17</v>
      </c>
      <c r="C18" s="10">
        <v>1581</v>
      </c>
      <c r="D18" s="10">
        <v>1652</v>
      </c>
      <c r="E18" s="10">
        <v>1581</v>
      </c>
      <c r="F18" s="10"/>
      <c r="G18" s="10">
        <f>Таблица1[[#This Row],[Кол-во месторождений]]+Таблица1[[#This Row],[Количество ПОН КС (без месторождений)]]</f>
        <v>1581</v>
      </c>
      <c r="H18" s="6">
        <v>1966</v>
      </c>
      <c r="I18" s="6">
        <v>1939</v>
      </c>
      <c r="J18" s="6">
        <v>0</v>
      </c>
      <c r="K18" s="6">
        <f>Таблица1[[#This Row],[Количество ФИАС2]]-Таблица1[[#This Row],[Количество ФИАС]]</f>
        <v>-27</v>
      </c>
      <c r="L18" s="7">
        <f>Таблица1[[#This Row],[Количество ФИАС2]]*100/Таблица1[[#This Row],[Количество ПОН КС (без месторождений)]]</f>
        <v>122.64389626818469</v>
      </c>
      <c r="M18" s="13">
        <f>Таблица1[[#This Row],[Количество ПОН КС (с месторождений)]]+Таблица1[[#This Row],[Кол-во месторождений]]</f>
        <v>1652</v>
      </c>
      <c r="N18" s="6">
        <v>2055</v>
      </c>
      <c r="O18" s="10">
        <v>56</v>
      </c>
      <c r="P18" s="10">
        <v>1</v>
      </c>
      <c r="Q18" s="10">
        <f>Таблица1[[#This Row],[Количество ПОН КС (с месторождениями)]]-Таблица1[[#This Row],[Количество линейных объектов]]</f>
        <v>1525</v>
      </c>
      <c r="R1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1526</v>
      </c>
      <c r="S18" s="6">
        <v>1946</v>
      </c>
      <c r="T18" s="6">
        <f>Таблица1[[#This Row],[Количество ФИАС на 02.08.20182]]-Таблица1[[#This Row],[Количество ФИАС2]]</f>
        <v>7</v>
      </c>
      <c r="U18" s="6">
        <v>1992</v>
      </c>
      <c r="V18" s="6">
        <v>2060</v>
      </c>
      <c r="W18" s="6">
        <f>SUM(Таблица1[[#This Row],[Количество 27.08.20182]]-Таблица1[[#This Row],[Количество ФИАС на 02.08.20182]])</f>
        <v>114</v>
      </c>
      <c r="X18" s="6">
        <v>2060</v>
      </c>
      <c r="Y18" s="6">
        <f>Таблица1[[#This Row],[Количество 30.08.2018]]-Таблица1[[#This Row],[Количество ФИАС на 02.08.20182]]</f>
        <v>114</v>
      </c>
      <c r="Z18" s="15">
        <f>Таблица1[[#This Row],[Количество 30.08.2018]]/Таблица1[[#This Row],[ПОН КС без линейных]]</f>
        <v>1.3508196721311476</v>
      </c>
      <c r="AA18" s="15">
        <f>Таблица1[[#This Row],[Количество 30.08.2018]]/Таблица1[[#This Row],[ПОН КС без линейных и месторождений]]</f>
        <v>1.3499344692005242</v>
      </c>
    </row>
    <row r="19" spans="1:27" hidden="1" x14ac:dyDescent="0.25">
      <c r="A19" s="4">
        <v>8606</v>
      </c>
      <c r="B19" s="5" t="s">
        <v>18</v>
      </c>
      <c r="C19" s="10">
        <v>929</v>
      </c>
      <c r="D19" s="10">
        <v>929</v>
      </c>
      <c r="E19" s="10">
        <v>929</v>
      </c>
      <c r="F19" s="10"/>
      <c r="G19" s="10">
        <f>Таблица1[[#This Row],[Кол-во месторождений]]+Таблица1[[#This Row],[Количество ПОН КС (без месторождений)]]</f>
        <v>929</v>
      </c>
      <c r="H19" s="6">
        <v>1295</v>
      </c>
      <c r="I19" s="6">
        <v>1292</v>
      </c>
      <c r="J19" s="6">
        <v>0</v>
      </c>
      <c r="K19" s="6">
        <f>Таблица1[[#This Row],[Количество ФИАС2]]-Таблица1[[#This Row],[Количество ФИАС]]</f>
        <v>-3</v>
      </c>
      <c r="L19" s="7">
        <f>Таблица1[[#This Row],[Количество ФИАС2]]*100/Таблица1[[#This Row],[Количество ПОН КС (без месторождений)]]</f>
        <v>139.07427341227125</v>
      </c>
      <c r="M19" s="13">
        <f>Таблица1[[#This Row],[Количество ПОН КС (с месторождений)]]+Таблица1[[#This Row],[Кол-во месторождений]]</f>
        <v>929</v>
      </c>
      <c r="N19" s="6">
        <v>1243</v>
      </c>
      <c r="O19" s="10">
        <v>33</v>
      </c>
      <c r="P19" s="10">
        <v>0</v>
      </c>
      <c r="Q19" s="10">
        <f>Таблица1[[#This Row],[Количество ПОН КС (с месторождениями)]]-Таблица1[[#This Row],[Количество линейных объектов]]</f>
        <v>896</v>
      </c>
      <c r="R1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896</v>
      </c>
      <c r="S19" s="6">
        <v>1292</v>
      </c>
      <c r="T19" s="6">
        <f>Таблица1[[#This Row],[Количество ФИАС на 02.08.20182]]-Таблица1[[#This Row],[Количество ФИАС2]]</f>
        <v>0</v>
      </c>
      <c r="U19" s="6">
        <v>1233</v>
      </c>
      <c r="V19" s="6">
        <v>1243</v>
      </c>
      <c r="W19" s="6">
        <f>SUM(Таблица1[[#This Row],[Количество 27.08.20182]]-Таблица1[[#This Row],[Количество ФИАС на 02.08.20182]])</f>
        <v>-49</v>
      </c>
      <c r="X19" s="6">
        <v>1243</v>
      </c>
      <c r="Y19" s="6">
        <f>Таблица1[[#This Row],[Количество 30.08.2018]]-Таблица1[[#This Row],[Количество ФИАС на 02.08.20182]]</f>
        <v>-49</v>
      </c>
      <c r="Z19" s="15">
        <f>Таблица1[[#This Row],[Количество 30.08.2018]]/Таблица1[[#This Row],[ПОН КС без линейных]]</f>
        <v>1.3872767857142858</v>
      </c>
      <c r="AA19" s="15">
        <f>Таблица1[[#This Row],[Количество 30.08.2018]]/Таблица1[[#This Row],[ПОН КС без линейных и месторождений]]</f>
        <v>1.3872767857142858</v>
      </c>
    </row>
    <row r="20" spans="1:27" hidden="1" x14ac:dyDescent="0.25">
      <c r="A20" s="4">
        <v>8606</v>
      </c>
      <c r="B20" s="5" t="s">
        <v>19</v>
      </c>
      <c r="C20" s="10">
        <v>747</v>
      </c>
      <c r="D20" s="10">
        <v>747</v>
      </c>
      <c r="E20" s="10">
        <v>747</v>
      </c>
      <c r="F20" s="10"/>
      <c r="G20" s="10">
        <f>Таблица1[[#This Row],[Кол-во месторождений]]+Таблица1[[#This Row],[Количество ПОН КС (без месторождений)]]</f>
        <v>747</v>
      </c>
      <c r="H20" s="6">
        <v>936</v>
      </c>
      <c r="I20" s="6">
        <v>915</v>
      </c>
      <c r="J20" s="6">
        <v>0</v>
      </c>
      <c r="K20" s="6">
        <f>Таблица1[[#This Row],[Количество ФИАС2]]-Таблица1[[#This Row],[Количество ФИАС]]</f>
        <v>-21</v>
      </c>
      <c r="L20" s="7">
        <f>Таблица1[[#This Row],[Количество ФИАС2]]*100/Таблица1[[#This Row],[Количество ПОН КС (без месторождений)]]</f>
        <v>122.48995983935743</v>
      </c>
      <c r="M20" s="13">
        <f>Таблица1[[#This Row],[Количество ПОН КС (с месторождений)]]+Таблица1[[#This Row],[Кол-во месторождений]]</f>
        <v>747</v>
      </c>
      <c r="N20" s="6">
        <v>913</v>
      </c>
      <c r="O20" s="10">
        <v>23</v>
      </c>
      <c r="P20" s="10">
        <v>0</v>
      </c>
      <c r="Q20" s="10">
        <f>Таблица1[[#This Row],[Количество ПОН КС (с месторождениями)]]-Таблица1[[#This Row],[Количество линейных объектов]]</f>
        <v>724</v>
      </c>
      <c r="R2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724</v>
      </c>
      <c r="S20" s="6">
        <v>927</v>
      </c>
      <c r="T20" s="6">
        <f>Таблица1[[#This Row],[Количество ФИАС на 02.08.20182]]-Таблица1[[#This Row],[Количество ФИАС2]]</f>
        <v>12</v>
      </c>
      <c r="U20" s="6">
        <v>908</v>
      </c>
      <c r="V20" s="6">
        <v>952</v>
      </c>
      <c r="W20" s="6">
        <f>SUM(Таблица1[[#This Row],[Количество 27.08.20182]]-Таблица1[[#This Row],[Количество ФИАС на 02.08.20182]])</f>
        <v>25</v>
      </c>
      <c r="X20" s="6">
        <v>956</v>
      </c>
      <c r="Y20" s="6">
        <f>Таблица1[[#This Row],[Количество 30.08.2018]]-Таблица1[[#This Row],[Количество ФИАС на 02.08.20182]]</f>
        <v>29</v>
      </c>
      <c r="Z20" s="15">
        <f>Таблица1[[#This Row],[Количество 30.08.2018]]/Таблица1[[#This Row],[ПОН КС без линейных]]</f>
        <v>1.3204419889502763</v>
      </c>
      <c r="AA20" s="15">
        <f>Таблица1[[#This Row],[Количество 30.08.2018]]/Таблица1[[#This Row],[ПОН КС без линейных и месторождений]]</f>
        <v>1.3204419889502763</v>
      </c>
    </row>
    <row r="21" spans="1:27" hidden="1" x14ac:dyDescent="0.25">
      <c r="A21" s="4">
        <v>8606</v>
      </c>
      <c r="B21" s="5" t="s">
        <v>20</v>
      </c>
      <c r="C21" s="10">
        <v>4930</v>
      </c>
      <c r="D21" s="10">
        <v>5065</v>
      </c>
      <c r="E21" s="10">
        <v>4930</v>
      </c>
      <c r="F21" s="10"/>
      <c r="G21" s="10">
        <f>Таблица1[[#This Row],[Кол-во месторождений]]+Таблица1[[#This Row],[Количество ПОН КС (без месторождений)]]</f>
        <v>4930</v>
      </c>
      <c r="H21" s="6">
        <v>2637</v>
      </c>
      <c r="I21" s="6">
        <v>2590</v>
      </c>
      <c r="J21" s="6">
        <v>449</v>
      </c>
      <c r="K21" s="6">
        <f>Таблица1[[#This Row],[Количество ФИАС2]]-Таблица1[[#This Row],[Количество ФИАС]]</f>
        <v>-47</v>
      </c>
      <c r="L21" s="7">
        <f>Таблица1[[#This Row],[Количество ФИАС2]]*100/Таблица1[[#This Row],[Количество ПОН КС (без месторождений)]]</f>
        <v>52.535496957403652</v>
      </c>
      <c r="M21" s="13">
        <f>Таблица1[[#This Row],[Количество ПОН КС (с месторождений)]]+Таблица1[[#This Row],[Кол-во месторождений]]</f>
        <v>5065</v>
      </c>
      <c r="N21" s="6">
        <v>3437</v>
      </c>
      <c r="O21" s="10">
        <v>156</v>
      </c>
      <c r="P21" s="10">
        <v>0</v>
      </c>
      <c r="Q21" s="10">
        <f>Таблица1[[#This Row],[Количество ПОН КС (с месторождениями)]]-Таблица1[[#This Row],[Количество линейных объектов]]</f>
        <v>4774</v>
      </c>
      <c r="R2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4774</v>
      </c>
      <c r="S21" s="6">
        <v>2760</v>
      </c>
      <c r="T21" s="6">
        <f>Таблица1[[#This Row],[Количество ФИАС на 02.08.20182]]-Таблица1[[#This Row],[Количество ФИАС2]]</f>
        <v>170</v>
      </c>
      <c r="U21" s="6">
        <v>3101</v>
      </c>
      <c r="V21" s="6">
        <v>4583</v>
      </c>
      <c r="W21" s="6">
        <f>SUM(Таблица1[[#This Row],[Количество 27.08.20182]]-Таблица1[[#This Row],[Количество ФИАС на 02.08.20182]])</f>
        <v>1823</v>
      </c>
      <c r="X21" s="6">
        <v>4734</v>
      </c>
      <c r="Y21" s="6">
        <f>Таблица1[[#This Row],[Количество 30.08.2018]]-Таблица1[[#This Row],[Количество ФИАС на 02.08.20182]]</f>
        <v>1974</v>
      </c>
      <c r="Z21" s="15">
        <f>Таблица1[[#This Row],[Количество 30.08.2018]]/Таблица1[[#This Row],[ПОН КС без линейных]]</f>
        <v>0.99162128194386256</v>
      </c>
      <c r="AA21" s="15">
        <f>Таблица1[[#This Row],[Количество 30.08.2018]]/Таблица1[[#This Row],[ПОН КС без линейных и месторождений]]</f>
        <v>0.99162128194386256</v>
      </c>
    </row>
    <row r="22" spans="1:27" hidden="1" x14ac:dyDescent="0.25">
      <c r="A22" s="4">
        <v>8606</v>
      </c>
      <c r="B22" s="5" t="s">
        <v>21</v>
      </c>
      <c r="C22" s="10">
        <v>1575</v>
      </c>
      <c r="D22" s="10">
        <v>2020</v>
      </c>
      <c r="E22" s="10">
        <v>1575</v>
      </c>
      <c r="F22" s="10"/>
      <c r="G22" s="10">
        <f>Таблица1[[#This Row],[Кол-во месторождений]]+Таблица1[[#This Row],[Количество ПОН КС (без месторождений)]]</f>
        <v>1575</v>
      </c>
      <c r="H22" s="6">
        <v>1465</v>
      </c>
      <c r="I22" s="6">
        <v>1443</v>
      </c>
      <c r="J22" s="6">
        <v>0</v>
      </c>
      <c r="K22" s="6">
        <f>Таблица1[[#This Row],[Количество ФИАС2]]-Таблица1[[#This Row],[Количество ФИАС]]</f>
        <v>-22</v>
      </c>
      <c r="L22" s="7">
        <f>Таблица1[[#This Row],[Количество ФИАС2]]*100/Таблица1[[#This Row],[Количество ПОН КС (без месторождений)]]</f>
        <v>91.61904761904762</v>
      </c>
      <c r="M22" s="13">
        <f>Таблица1[[#This Row],[Количество ПОН КС (с месторождений)]]+Таблица1[[#This Row],[Кол-во месторождений]]</f>
        <v>2020</v>
      </c>
      <c r="N22" s="6">
        <v>1503</v>
      </c>
      <c r="O22" s="10">
        <v>31</v>
      </c>
      <c r="P22" s="10">
        <v>0</v>
      </c>
      <c r="Q22" s="10">
        <f>Таблица1[[#This Row],[Количество ПОН КС (с месторождениями)]]-Таблица1[[#This Row],[Количество линейных объектов]]</f>
        <v>1544</v>
      </c>
      <c r="R2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1544</v>
      </c>
      <c r="S22" s="6">
        <v>1443</v>
      </c>
      <c r="T22" s="6">
        <f>Таблица1[[#This Row],[Количество ФИАС на 02.08.20182]]-Таблица1[[#This Row],[Количество ФИАС2]]</f>
        <v>0</v>
      </c>
      <c r="U22" s="6">
        <v>1438</v>
      </c>
      <c r="V22" s="6">
        <v>1495</v>
      </c>
      <c r="W22" s="6">
        <f>SUM(Таблица1[[#This Row],[Количество 27.08.20182]]-Таблица1[[#This Row],[Количество ФИАС на 02.08.20182]])</f>
        <v>52</v>
      </c>
      <c r="X22" s="6">
        <v>1495</v>
      </c>
      <c r="Y22" s="6">
        <f>Таблица1[[#This Row],[Количество 30.08.2018]]-Таблица1[[#This Row],[Количество ФИАС на 02.08.20182]]</f>
        <v>52</v>
      </c>
      <c r="Z22" s="15">
        <f>Таблица1[[#This Row],[Количество 30.08.2018]]/Таблица1[[#This Row],[ПОН КС без линейных]]</f>
        <v>0.96826424870466321</v>
      </c>
      <c r="AA22" s="15">
        <f>Таблица1[[#This Row],[Количество 30.08.2018]]/Таблица1[[#This Row],[ПОН КС без линейных и месторождений]]</f>
        <v>0.96826424870466321</v>
      </c>
    </row>
    <row r="23" spans="1:27" hidden="1" x14ac:dyDescent="0.25">
      <c r="A23" s="4">
        <v>8606</v>
      </c>
      <c r="B23" s="5" t="s">
        <v>22</v>
      </c>
      <c r="C23" s="10">
        <v>739</v>
      </c>
      <c r="D23" s="10">
        <v>978</v>
      </c>
      <c r="E23" s="10">
        <v>739</v>
      </c>
      <c r="F23" s="10"/>
      <c r="G23" s="10">
        <f>Таблица1[[#This Row],[Кол-во месторождений]]+Таблица1[[#This Row],[Количество ПОН КС (без месторождений)]]</f>
        <v>739</v>
      </c>
      <c r="H23" s="6">
        <v>791</v>
      </c>
      <c r="I23" s="6">
        <v>777</v>
      </c>
      <c r="J23" s="6">
        <v>0</v>
      </c>
      <c r="K23" s="6">
        <f>Таблица1[[#This Row],[Количество ФИАС2]]-Таблица1[[#This Row],[Количество ФИАС]]</f>
        <v>-14</v>
      </c>
      <c r="L23" s="7">
        <f>Таблица1[[#This Row],[Количество ФИАС2]]*100/Таблица1[[#This Row],[Количество ПОН КС (без месторождений)]]</f>
        <v>105.14208389715832</v>
      </c>
      <c r="M23" s="13">
        <f>Таблица1[[#This Row],[Количество ПОН КС (с месторождений)]]+Таблица1[[#This Row],[Кол-во месторождений]]</f>
        <v>978</v>
      </c>
      <c r="N23" s="6">
        <v>796</v>
      </c>
      <c r="O23" s="10">
        <v>29</v>
      </c>
      <c r="P23" s="10">
        <v>0</v>
      </c>
      <c r="Q23" s="10">
        <f>Таблица1[[#This Row],[Количество ПОН КС (с месторождениями)]]-Таблица1[[#This Row],[Количество линейных объектов]]</f>
        <v>710</v>
      </c>
      <c r="R2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710</v>
      </c>
      <c r="S23" s="6">
        <v>777</v>
      </c>
      <c r="T23" s="6">
        <f>Таблица1[[#This Row],[Количество ФИАС на 02.08.20182]]-Таблица1[[#This Row],[Количество ФИАС2]]</f>
        <v>0</v>
      </c>
      <c r="U23" s="6">
        <v>759</v>
      </c>
      <c r="V23" s="6">
        <v>785</v>
      </c>
      <c r="W23" s="6">
        <f>SUM(Таблица1[[#This Row],[Количество 27.08.20182]]-Таблица1[[#This Row],[Количество ФИАС на 02.08.20182]])</f>
        <v>8</v>
      </c>
      <c r="X23" s="6">
        <v>785</v>
      </c>
      <c r="Y23" s="6">
        <f>Таблица1[[#This Row],[Количество 30.08.2018]]-Таблица1[[#This Row],[Количество ФИАС на 02.08.20182]]</f>
        <v>8</v>
      </c>
      <c r="Z23" s="15">
        <f>Таблица1[[#This Row],[Количество 30.08.2018]]/Таблица1[[#This Row],[ПОН КС без линейных]]</f>
        <v>1.1056338028169015</v>
      </c>
      <c r="AA23" s="15">
        <f>Таблица1[[#This Row],[Количество 30.08.2018]]/Таблица1[[#This Row],[ПОН КС без линейных и месторождений]]</f>
        <v>1.1056338028169015</v>
      </c>
    </row>
    <row r="24" spans="1:27" hidden="1" x14ac:dyDescent="0.25">
      <c r="A24" s="4">
        <v>8606</v>
      </c>
      <c r="B24" s="5" t="s">
        <v>23</v>
      </c>
      <c r="C24" s="10">
        <v>150</v>
      </c>
      <c r="D24" s="10">
        <v>153</v>
      </c>
      <c r="E24" s="10">
        <v>150</v>
      </c>
      <c r="F24" s="10"/>
      <c r="G24" s="10">
        <f>Таблица1[[#This Row],[Кол-во месторождений]]+Таблица1[[#This Row],[Количество ПОН КС (без месторождений)]]</f>
        <v>150</v>
      </c>
      <c r="H24" s="6">
        <v>308</v>
      </c>
      <c r="I24" s="6">
        <v>301</v>
      </c>
      <c r="J24" s="6">
        <v>0</v>
      </c>
      <c r="K24" s="6">
        <f>Таблица1[[#This Row],[Количество ФИАС2]]-Таблица1[[#This Row],[Количество ФИАС]]</f>
        <v>-7</v>
      </c>
      <c r="L24" s="7">
        <f>Таблица1[[#This Row],[Количество ФИАС2]]*100/Таблица1[[#This Row],[Количество ПОН КС (без месторождений)]]</f>
        <v>200.66666666666666</v>
      </c>
      <c r="M24" s="13">
        <f>Таблица1[[#This Row],[Количество ПОН КС (с месторождений)]]+Таблица1[[#This Row],[Кол-во месторождений]]</f>
        <v>153</v>
      </c>
      <c r="N24" s="6">
        <v>302</v>
      </c>
      <c r="O24" s="10">
        <v>3</v>
      </c>
      <c r="P24" s="10">
        <v>0</v>
      </c>
      <c r="Q24" s="10">
        <f>Таблица1[[#This Row],[Количество ПОН КС (с месторождениями)]]-Таблица1[[#This Row],[Количество линейных объектов]]</f>
        <v>147</v>
      </c>
      <c r="R2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147</v>
      </c>
      <c r="S24" s="6">
        <v>301</v>
      </c>
      <c r="T24" s="6">
        <f>Таблица1[[#This Row],[Количество ФИАС на 02.08.20182]]-Таблица1[[#This Row],[Количество ФИАС2]]</f>
        <v>0</v>
      </c>
      <c r="U24" s="6">
        <v>302</v>
      </c>
      <c r="V24" s="6">
        <v>302</v>
      </c>
      <c r="W24" s="6">
        <f>SUM(Таблица1[[#This Row],[Количество 27.08.20182]]-Таблица1[[#This Row],[Количество ФИАС на 02.08.20182]])</f>
        <v>1</v>
      </c>
      <c r="X24" s="6">
        <v>302</v>
      </c>
      <c r="Y24" s="6">
        <f>Таблица1[[#This Row],[Количество 30.08.2018]]-Таблица1[[#This Row],[Количество ФИАС на 02.08.20182]]</f>
        <v>1</v>
      </c>
      <c r="Z24" s="15">
        <f>Таблица1[[#This Row],[Количество 30.08.2018]]/Таблица1[[#This Row],[ПОН КС без линейных]]</f>
        <v>2.0544217687074831</v>
      </c>
      <c r="AA24" s="15">
        <f>Таблица1[[#This Row],[Количество 30.08.2018]]/Таблица1[[#This Row],[ПОН КС без линейных и месторождений]]</f>
        <v>2.0544217687074831</v>
      </c>
    </row>
    <row r="25" spans="1:27" hidden="1" x14ac:dyDescent="0.25">
      <c r="A25" s="4">
        <v>8606</v>
      </c>
      <c r="B25" s="5" t="s">
        <v>24</v>
      </c>
      <c r="C25" s="10">
        <v>444</v>
      </c>
      <c r="D25" s="10">
        <v>997</v>
      </c>
      <c r="E25" s="10">
        <v>444</v>
      </c>
      <c r="F25" s="10"/>
      <c r="G25" s="10">
        <f>Таблица1[[#This Row],[Кол-во месторождений]]+Таблица1[[#This Row],[Количество ПОН КС (без месторождений)]]</f>
        <v>444</v>
      </c>
      <c r="H25" s="6">
        <v>449</v>
      </c>
      <c r="I25" s="6">
        <v>447</v>
      </c>
      <c r="J25" s="6">
        <v>0</v>
      </c>
      <c r="K25" s="6">
        <f>Таблица1[[#This Row],[Количество ФИАС2]]-Таблица1[[#This Row],[Количество ФИАС]]</f>
        <v>-2</v>
      </c>
      <c r="L25" s="7">
        <f>Таблица1[[#This Row],[Количество ФИАС2]]*100/Таблица1[[#This Row],[Количество ПОН КС (без месторождений)]]</f>
        <v>100.67567567567568</v>
      </c>
      <c r="M25" s="13">
        <f>Таблица1[[#This Row],[Количество ПОН КС (с месторождений)]]+Таблица1[[#This Row],[Кол-во месторождений]]</f>
        <v>997</v>
      </c>
      <c r="N25" s="6">
        <v>446</v>
      </c>
      <c r="O25" s="10">
        <v>12</v>
      </c>
      <c r="P25" s="10">
        <v>0</v>
      </c>
      <c r="Q25" s="10">
        <f>Таблица1[[#This Row],[Количество ПОН КС (с месторождениями)]]-Таблица1[[#This Row],[Количество линейных объектов]]</f>
        <v>432</v>
      </c>
      <c r="R2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432</v>
      </c>
      <c r="S25" s="6">
        <v>447</v>
      </c>
      <c r="T25" s="6">
        <f>Таблица1[[#This Row],[Количество ФИАС на 02.08.20182]]-Таблица1[[#This Row],[Количество ФИАС2]]</f>
        <v>0</v>
      </c>
      <c r="U25" s="6">
        <v>444</v>
      </c>
      <c r="V25" s="6">
        <v>448</v>
      </c>
      <c r="W25" s="6">
        <f>SUM(Таблица1[[#This Row],[Количество 27.08.20182]]-Таблица1[[#This Row],[Количество ФИАС на 02.08.20182]])</f>
        <v>1</v>
      </c>
      <c r="X25" s="6">
        <v>448</v>
      </c>
      <c r="Y25" s="6">
        <f>Таблица1[[#This Row],[Количество 30.08.2018]]-Таблица1[[#This Row],[Количество ФИАС на 02.08.20182]]</f>
        <v>1</v>
      </c>
      <c r="Z25" s="15">
        <f>Таблица1[[#This Row],[Количество 30.08.2018]]/Таблица1[[#This Row],[ПОН КС без линейных]]</f>
        <v>1.037037037037037</v>
      </c>
      <c r="AA25" s="15">
        <f>Таблица1[[#This Row],[Количество 30.08.2018]]/Таблица1[[#This Row],[ПОН КС без линейных и месторождений]]</f>
        <v>1.037037037037037</v>
      </c>
    </row>
    <row r="26" spans="1:27" hidden="1" x14ac:dyDescent="0.25">
      <c r="A26" s="4">
        <v>8606</v>
      </c>
      <c r="B26" s="5" t="s">
        <v>25</v>
      </c>
      <c r="C26" s="10">
        <v>465</v>
      </c>
      <c r="D26" s="10">
        <v>468</v>
      </c>
      <c r="E26" s="10">
        <v>465</v>
      </c>
      <c r="F26" s="10"/>
      <c r="G26" s="10">
        <f>Таблица1[[#This Row],[Кол-во месторождений]]+Таблица1[[#This Row],[Количество ПОН КС (без месторождений)]]</f>
        <v>465</v>
      </c>
      <c r="H26" s="6">
        <v>657</v>
      </c>
      <c r="I26" s="6">
        <v>646</v>
      </c>
      <c r="J26" s="6">
        <v>0</v>
      </c>
      <c r="K26" s="6">
        <f>Таблица1[[#This Row],[Количество ФИАС2]]-Таблица1[[#This Row],[Количество ФИАС]]</f>
        <v>-11</v>
      </c>
      <c r="L26" s="7">
        <f>Таблица1[[#This Row],[Количество ФИАС2]]*100/Таблица1[[#This Row],[Количество ПОН КС (без месторождений)]]</f>
        <v>138.92473118279571</v>
      </c>
      <c r="M26" s="13">
        <f>Таблица1[[#This Row],[Количество ПОН КС (с месторождений)]]+Таблица1[[#This Row],[Кол-во месторождений]]</f>
        <v>468</v>
      </c>
      <c r="N26" s="6">
        <v>645</v>
      </c>
      <c r="O26" s="10">
        <v>12</v>
      </c>
      <c r="P26" s="10">
        <v>0</v>
      </c>
      <c r="Q26" s="10">
        <f>Таблица1[[#This Row],[Количество ПОН КС (с месторождениями)]]-Таблица1[[#This Row],[Количество линейных объектов]]</f>
        <v>453</v>
      </c>
      <c r="R2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453</v>
      </c>
      <c r="S26" s="6">
        <v>646</v>
      </c>
      <c r="T26" s="6">
        <f>Таблица1[[#This Row],[Количество ФИАС на 02.08.20182]]-Таблица1[[#This Row],[Количество ФИАС2]]</f>
        <v>0</v>
      </c>
      <c r="U26" s="6">
        <v>630</v>
      </c>
      <c r="V26" s="6">
        <v>651</v>
      </c>
      <c r="W26" s="6">
        <f>SUM(Таблица1[[#This Row],[Количество 27.08.20182]]-Таблица1[[#This Row],[Количество ФИАС на 02.08.20182]])</f>
        <v>5</v>
      </c>
      <c r="X26" s="6">
        <v>651</v>
      </c>
      <c r="Y26" s="6">
        <f>Таблица1[[#This Row],[Количество 30.08.2018]]-Таблица1[[#This Row],[Количество ФИАС на 02.08.20182]]</f>
        <v>5</v>
      </c>
      <c r="Z26" s="15">
        <f>Таблица1[[#This Row],[Количество 30.08.2018]]/Таблица1[[#This Row],[ПОН КС без линейных]]</f>
        <v>1.4370860927152318</v>
      </c>
      <c r="AA26" s="15">
        <f>Таблица1[[#This Row],[Количество 30.08.2018]]/Таблица1[[#This Row],[ПОН КС без линейных и месторождений]]</f>
        <v>1.4370860927152318</v>
      </c>
    </row>
    <row r="27" spans="1:27" hidden="1" x14ac:dyDescent="0.25">
      <c r="A27" s="4">
        <v>8606</v>
      </c>
      <c r="B27" s="5" t="s">
        <v>26</v>
      </c>
      <c r="C27" s="10">
        <v>424</v>
      </c>
      <c r="D27" s="10">
        <v>1205</v>
      </c>
      <c r="E27" s="10">
        <v>424</v>
      </c>
      <c r="F27" s="10"/>
      <c r="G27" s="10">
        <f>Таблица1[[#This Row],[Кол-во месторождений]]+Таблица1[[#This Row],[Количество ПОН КС (без месторождений)]]</f>
        <v>424</v>
      </c>
      <c r="H27" s="6">
        <v>278</v>
      </c>
      <c r="I27" s="6">
        <v>277</v>
      </c>
      <c r="J27" s="6">
        <v>0</v>
      </c>
      <c r="K27" s="6">
        <f>Таблица1[[#This Row],[Количество ФИАС2]]-Таблица1[[#This Row],[Количество ФИАС]]</f>
        <v>-1</v>
      </c>
      <c r="L27" s="7">
        <f>Таблица1[[#This Row],[Количество ФИАС2]]*100/Таблица1[[#This Row],[Количество ПОН КС (без месторождений)]]</f>
        <v>65.330188679245282</v>
      </c>
      <c r="M27" s="13">
        <f>Таблица1[[#This Row],[Количество ПОН КС (с месторождений)]]+Таблица1[[#This Row],[Кол-во месторождений]]</f>
        <v>1205</v>
      </c>
      <c r="N27" s="6">
        <v>317</v>
      </c>
      <c r="O27" s="10">
        <v>9</v>
      </c>
      <c r="P27" s="10">
        <v>0</v>
      </c>
      <c r="Q27" s="10">
        <f>Таблица1[[#This Row],[Количество ПОН КС (с месторождениями)]]-Таблица1[[#This Row],[Количество линейных объектов]]</f>
        <v>415</v>
      </c>
      <c r="R2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415</v>
      </c>
      <c r="S27" s="6">
        <v>277</v>
      </c>
      <c r="T27" s="6">
        <f>Таблица1[[#This Row],[Количество ФИАС на 02.08.20182]]-Таблица1[[#This Row],[Количество ФИАС2]]</f>
        <v>0</v>
      </c>
      <c r="U27" s="6">
        <v>316</v>
      </c>
      <c r="V27" s="6">
        <v>319</v>
      </c>
      <c r="W27" s="6">
        <f>SUM(Таблица1[[#This Row],[Количество 27.08.20182]]-Таблица1[[#This Row],[Количество ФИАС на 02.08.20182]])</f>
        <v>42</v>
      </c>
      <c r="X27" s="6">
        <v>319</v>
      </c>
      <c r="Y27" s="6">
        <f>Таблица1[[#This Row],[Количество 30.08.2018]]-Таблица1[[#This Row],[Количество ФИАС на 02.08.20182]]</f>
        <v>42</v>
      </c>
      <c r="Z27" s="15">
        <f>Таблица1[[#This Row],[Количество 30.08.2018]]/Таблица1[[#This Row],[ПОН КС без линейных]]</f>
        <v>0.76867469879518069</v>
      </c>
      <c r="AA27" s="15">
        <f>Таблица1[[#This Row],[Количество 30.08.2018]]/Таблица1[[#This Row],[ПОН КС без линейных и месторождений]]</f>
        <v>0.76867469879518069</v>
      </c>
    </row>
    <row r="28" spans="1:27" hidden="1" x14ac:dyDescent="0.25">
      <c r="A28" s="4">
        <v>8610</v>
      </c>
      <c r="B28" s="5" t="s">
        <v>27</v>
      </c>
      <c r="C28" s="10">
        <v>26597</v>
      </c>
      <c r="D28" s="10">
        <v>27272</v>
      </c>
      <c r="E28" s="10">
        <v>26597</v>
      </c>
      <c r="F28" s="10">
        <v>16</v>
      </c>
      <c r="G28" s="10">
        <f>Таблица1[[#This Row],[Кол-во месторождений]]+Таблица1[[#This Row],[Количество ПОН КС (без месторождений)]]</f>
        <v>26613</v>
      </c>
      <c r="H28" s="6">
        <v>11842</v>
      </c>
      <c r="I28" s="6">
        <v>22941</v>
      </c>
      <c r="J28" s="6">
        <v>0</v>
      </c>
      <c r="K28" s="6">
        <f>Таблица1[[#This Row],[Количество ФИАС2]]-Таблица1[[#This Row],[Количество ФИАС]]</f>
        <v>11099</v>
      </c>
      <c r="L28" s="7">
        <f>Таблица1[[#This Row],[Количество ФИАС2]]*100/Таблица1[[#This Row],[Количество ПОН КС (без месторождений)]]</f>
        <v>86.254088807008316</v>
      </c>
      <c r="M28" s="13">
        <f>Таблица1[[#This Row],[Количество ПОН КС (с месторождений)]]+Таблица1[[#This Row],[Кол-во месторождений]]</f>
        <v>27288</v>
      </c>
      <c r="N28" s="6">
        <v>28320</v>
      </c>
      <c r="O28" s="10">
        <v>395</v>
      </c>
      <c r="P28" s="10">
        <v>0</v>
      </c>
      <c r="Q28" s="10">
        <f>Таблица1[[#This Row],[Количество ПОН КС (с месторождениями)]]-Таблица1[[#This Row],[Количество линейных объектов]]</f>
        <v>26218</v>
      </c>
      <c r="R2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26202</v>
      </c>
      <c r="S28" s="6">
        <v>22952</v>
      </c>
      <c r="T28" s="6">
        <f>Таблица1[[#This Row],[Количество ФИАС на 02.08.20182]]-Таблица1[[#This Row],[Количество ФИАС2]]</f>
        <v>11</v>
      </c>
      <c r="U28" s="6">
        <v>27542</v>
      </c>
      <c r="V28" s="6">
        <v>28501</v>
      </c>
      <c r="W28" s="6">
        <f>SUM(Таблица1[[#This Row],[Количество 27.08.20182]]-Таблица1[[#This Row],[Количество ФИАС на 02.08.20182]])</f>
        <v>5549</v>
      </c>
      <c r="X28" s="6">
        <v>28508</v>
      </c>
      <c r="Y28" s="6">
        <f>Таблица1[[#This Row],[Количество 30.08.2018]]-Таблица1[[#This Row],[Количество ФИАС на 02.08.20182]]</f>
        <v>5556</v>
      </c>
      <c r="Z28" s="15">
        <f>Таблица1[[#This Row],[Количество 30.08.2018]]/Таблица1[[#This Row],[ПОН КС без линейных]]</f>
        <v>1.0873445724311541</v>
      </c>
      <c r="AA28" s="15">
        <f>Таблица1[[#This Row],[Количество 30.08.2018]]/Таблица1[[#This Row],[ПОН КС без линейных и месторождений]]</f>
        <v>1.0880085489657279</v>
      </c>
    </row>
    <row r="29" spans="1:27" hidden="1" x14ac:dyDescent="0.25">
      <c r="A29" s="4">
        <v>8610</v>
      </c>
      <c r="B29" s="5" t="s">
        <v>28</v>
      </c>
      <c r="C29" s="10">
        <v>1960</v>
      </c>
      <c r="D29" s="10">
        <v>1989</v>
      </c>
      <c r="E29" s="10">
        <v>1960</v>
      </c>
      <c r="F29" s="10"/>
      <c r="G29" s="10">
        <f>Таблица1[[#This Row],[Кол-во месторождений]]+Таблица1[[#This Row],[Количество ПОН КС (без месторождений)]]</f>
        <v>1960</v>
      </c>
      <c r="H29" s="6">
        <v>1334</v>
      </c>
      <c r="I29" s="6">
        <v>1312</v>
      </c>
      <c r="J29" s="6">
        <v>0</v>
      </c>
      <c r="K29" s="6">
        <f>Таблица1[[#This Row],[Количество ФИАС2]]-Таблица1[[#This Row],[Количество ФИАС]]</f>
        <v>-22</v>
      </c>
      <c r="L29" s="7">
        <f>Таблица1[[#This Row],[Количество ФИАС2]]*100/Таблица1[[#This Row],[Количество ПОН КС (без месторождений)]]</f>
        <v>66.938775510204081</v>
      </c>
      <c r="M29" s="13">
        <f>Таблица1[[#This Row],[Количество ПОН КС (с месторождений)]]+Таблица1[[#This Row],[Кол-во месторождений]]</f>
        <v>1989</v>
      </c>
      <c r="N29" s="6">
        <v>1405</v>
      </c>
      <c r="O29" s="10">
        <v>69</v>
      </c>
      <c r="P29" s="10">
        <v>0</v>
      </c>
      <c r="Q29" s="10">
        <f>Таблица1[[#This Row],[Количество ПОН КС (с месторождениями)]]-Таблица1[[#This Row],[Количество линейных объектов]]</f>
        <v>1891</v>
      </c>
      <c r="R2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1891</v>
      </c>
      <c r="S29" s="6">
        <v>1316</v>
      </c>
      <c r="T29" s="6">
        <f>Таблица1[[#This Row],[Количество ФИАС на 02.08.20182]]-Таблица1[[#This Row],[Количество ФИАС2]]</f>
        <v>4</v>
      </c>
      <c r="U29" s="6">
        <v>1306</v>
      </c>
      <c r="V29" s="6">
        <v>1416</v>
      </c>
      <c r="W29" s="6">
        <f>SUM(Таблица1[[#This Row],[Количество 27.08.20182]]-Таблица1[[#This Row],[Количество ФИАС на 02.08.20182]])</f>
        <v>100</v>
      </c>
      <c r="X29" s="6">
        <v>1416</v>
      </c>
      <c r="Y29" s="6">
        <f>Таблица1[[#This Row],[Количество 30.08.2018]]-Таблица1[[#This Row],[Количество ФИАС на 02.08.20182]]</f>
        <v>100</v>
      </c>
      <c r="Z29" s="15">
        <f>Таблица1[[#This Row],[Количество 30.08.2018]]/Таблица1[[#This Row],[ПОН КС без линейных]]</f>
        <v>0.7488101533580116</v>
      </c>
      <c r="AA29" s="15">
        <f>Таблица1[[#This Row],[Количество 30.08.2018]]/Таблица1[[#This Row],[ПОН КС без линейных и месторождений]]</f>
        <v>0.7488101533580116</v>
      </c>
    </row>
    <row r="30" spans="1:27" hidden="1" x14ac:dyDescent="0.25">
      <c r="A30" s="4">
        <v>8610</v>
      </c>
      <c r="B30" s="5" t="s">
        <v>29</v>
      </c>
      <c r="C30" s="10">
        <v>1430</v>
      </c>
      <c r="D30" s="10">
        <v>1450</v>
      </c>
      <c r="E30" s="10">
        <v>1430</v>
      </c>
      <c r="F30" s="10"/>
      <c r="G30" s="10">
        <f>Таблица1[[#This Row],[Кол-во месторождений]]+Таблица1[[#This Row],[Количество ПОН КС (без месторождений)]]</f>
        <v>1430</v>
      </c>
      <c r="H30" s="6">
        <v>543</v>
      </c>
      <c r="I30" s="6">
        <v>569</v>
      </c>
      <c r="J30" s="6">
        <v>0</v>
      </c>
      <c r="K30" s="6">
        <f>Таблица1[[#This Row],[Количество ФИАС2]]-Таблица1[[#This Row],[Количество ФИАС]]</f>
        <v>26</v>
      </c>
      <c r="L30" s="7">
        <f>Таблица1[[#This Row],[Количество ФИАС2]]*100/Таблица1[[#This Row],[Количество ПОН КС (без месторождений)]]</f>
        <v>39.790209790209794</v>
      </c>
      <c r="M30" s="13">
        <f>Таблица1[[#This Row],[Количество ПОН КС (с месторождений)]]+Таблица1[[#This Row],[Кол-во месторождений]]</f>
        <v>1450</v>
      </c>
      <c r="N30" s="6">
        <v>901</v>
      </c>
      <c r="O30" s="10">
        <v>102</v>
      </c>
      <c r="P30" s="10">
        <v>0</v>
      </c>
      <c r="Q30" s="10">
        <f>Таблица1[[#This Row],[Количество ПОН КС (с месторождениями)]]-Таблица1[[#This Row],[Количество линейных объектов]]</f>
        <v>1328</v>
      </c>
      <c r="R3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1328</v>
      </c>
      <c r="S30" s="6">
        <v>571</v>
      </c>
      <c r="T30" s="6">
        <f>Таблица1[[#This Row],[Количество ФИАС на 02.08.20182]]-Таблица1[[#This Row],[Количество ФИАС2]]</f>
        <v>2</v>
      </c>
      <c r="U30" s="6">
        <v>509</v>
      </c>
      <c r="V30" s="6">
        <v>1275</v>
      </c>
      <c r="W30" s="6">
        <f>SUM(Таблица1[[#This Row],[Количество 27.08.20182]]-Таблица1[[#This Row],[Количество ФИАС на 02.08.20182]])</f>
        <v>704</v>
      </c>
      <c r="X30" s="6">
        <v>1282</v>
      </c>
      <c r="Y30" s="6">
        <f>Таблица1[[#This Row],[Количество 30.08.2018]]-Таблица1[[#This Row],[Количество ФИАС на 02.08.20182]]</f>
        <v>711</v>
      </c>
      <c r="Z30" s="15">
        <f>Таблица1[[#This Row],[Количество 30.08.2018]]/Таблица1[[#This Row],[ПОН КС без линейных]]</f>
        <v>0.96536144578313254</v>
      </c>
      <c r="AA30" s="15">
        <f>Таблица1[[#This Row],[Количество 30.08.2018]]/Таблица1[[#This Row],[ПОН КС без линейных и месторождений]]</f>
        <v>0.96536144578313254</v>
      </c>
    </row>
    <row r="31" spans="1:27" hidden="1" x14ac:dyDescent="0.25">
      <c r="A31" s="4">
        <v>8610</v>
      </c>
      <c r="B31" s="5" t="s">
        <v>30</v>
      </c>
      <c r="C31" s="10">
        <v>4212</v>
      </c>
      <c r="D31" s="10">
        <v>4240</v>
      </c>
      <c r="E31" s="10">
        <v>4212</v>
      </c>
      <c r="F31" s="10"/>
      <c r="G31" s="10">
        <f>Таблица1[[#This Row],[Кол-во месторождений]]+Таблица1[[#This Row],[Количество ПОН КС (без месторождений)]]</f>
        <v>4212</v>
      </c>
      <c r="H31" s="6">
        <v>3022</v>
      </c>
      <c r="I31" s="6">
        <v>4085</v>
      </c>
      <c r="J31" s="6">
        <v>0</v>
      </c>
      <c r="K31" s="6">
        <f>Таблица1[[#This Row],[Количество ФИАС2]]-Таблица1[[#This Row],[Количество ФИАС]]</f>
        <v>1063</v>
      </c>
      <c r="L31" s="7">
        <f>Таблица1[[#This Row],[Количество ФИАС2]]*100/Таблица1[[#This Row],[Количество ПОН КС (без месторождений)]]</f>
        <v>96.984805318138655</v>
      </c>
      <c r="M31" s="13">
        <f>Таблица1[[#This Row],[Количество ПОН КС (с месторождений)]]+Таблица1[[#This Row],[Кол-во месторождений]]</f>
        <v>4240</v>
      </c>
      <c r="N31" s="6">
        <v>4162</v>
      </c>
      <c r="O31" s="10">
        <v>82</v>
      </c>
      <c r="P31" s="10">
        <v>0</v>
      </c>
      <c r="Q31" s="10">
        <f>Таблица1[[#This Row],[Количество ПОН КС (с месторождениями)]]-Таблица1[[#This Row],[Количество линейных объектов]]</f>
        <v>4130</v>
      </c>
      <c r="R3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4130</v>
      </c>
      <c r="S31" s="6">
        <v>4099</v>
      </c>
      <c r="T31" s="6">
        <f>Таблица1[[#This Row],[Количество ФИАС на 02.08.20182]]-Таблица1[[#This Row],[Количество ФИАС2]]</f>
        <v>14</v>
      </c>
      <c r="U31" s="6">
        <v>3931</v>
      </c>
      <c r="V31" s="6">
        <v>4251</v>
      </c>
      <c r="W31" s="6">
        <f>SUM(Таблица1[[#This Row],[Количество 27.08.20182]]-Таблица1[[#This Row],[Количество ФИАС на 02.08.20182]])</f>
        <v>152</v>
      </c>
      <c r="X31" s="6">
        <v>4304</v>
      </c>
      <c r="Y31" s="6">
        <f>Таблица1[[#This Row],[Количество 30.08.2018]]-Таблица1[[#This Row],[Количество ФИАС на 02.08.20182]]</f>
        <v>205</v>
      </c>
      <c r="Z31" s="15">
        <f>Таблица1[[#This Row],[Количество 30.08.2018]]/Таблица1[[#This Row],[ПОН КС без линейных]]</f>
        <v>1.0421307506053268</v>
      </c>
      <c r="AA31" s="15">
        <f>Таблица1[[#This Row],[Количество 30.08.2018]]/Таблица1[[#This Row],[ПОН КС без линейных и месторождений]]</f>
        <v>1.0421307506053268</v>
      </c>
    </row>
    <row r="32" spans="1:27" hidden="1" x14ac:dyDescent="0.25">
      <c r="A32" s="4">
        <v>8610</v>
      </c>
      <c r="B32" s="5" t="s">
        <v>31</v>
      </c>
      <c r="C32" s="10">
        <v>1646</v>
      </c>
      <c r="D32" s="10">
        <v>1663</v>
      </c>
      <c r="E32" s="10">
        <v>1646</v>
      </c>
      <c r="F32" s="10"/>
      <c r="G32" s="10">
        <f>Таблица1[[#This Row],[Кол-во месторождений]]+Таблица1[[#This Row],[Количество ПОН КС (без месторождений)]]</f>
        <v>1646</v>
      </c>
      <c r="H32" s="6">
        <v>1318</v>
      </c>
      <c r="I32" s="6">
        <v>1313</v>
      </c>
      <c r="J32" s="6">
        <v>0</v>
      </c>
      <c r="K32" s="6">
        <f>Таблица1[[#This Row],[Количество ФИАС2]]-Таблица1[[#This Row],[Количество ФИАС]]</f>
        <v>-5</v>
      </c>
      <c r="L32" s="7">
        <f>Таблица1[[#This Row],[Количество ФИАС2]]*100/Таблица1[[#This Row],[Количество ПОН КС (без месторождений)]]</f>
        <v>79.769137302551641</v>
      </c>
      <c r="M32" s="13">
        <f>Таблица1[[#This Row],[Количество ПОН КС (с месторождений)]]+Таблица1[[#This Row],[Кол-во месторождений]]</f>
        <v>1663</v>
      </c>
      <c r="N32" s="6">
        <v>1762</v>
      </c>
      <c r="O32" s="10">
        <v>12</v>
      </c>
      <c r="P32" s="10">
        <v>0</v>
      </c>
      <c r="Q32" s="10">
        <f>Таблица1[[#This Row],[Количество ПОН КС (с месторождениями)]]-Таблица1[[#This Row],[Количество линейных объектов]]</f>
        <v>1634</v>
      </c>
      <c r="R3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1634</v>
      </c>
      <c r="S32" s="6">
        <v>1397</v>
      </c>
      <c r="T32" s="6">
        <f>Таблица1[[#This Row],[Количество ФИАС на 02.08.20182]]-Таблица1[[#This Row],[Количество ФИАС2]]</f>
        <v>84</v>
      </c>
      <c r="U32" s="6">
        <v>1882</v>
      </c>
      <c r="V32" s="6">
        <v>1895</v>
      </c>
      <c r="W32" s="6">
        <f>SUM(Таблица1[[#This Row],[Количество 27.08.20182]]-Таблица1[[#This Row],[Количество ФИАС на 02.08.20182]])</f>
        <v>498</v>
      </c>
      <c r="X32" s="6">
        <v>1895</v>
      </c>
      <c r="Y32" s="6">
        <f>Таблица1[[#This Row],[Количество 30.08.2018]]-Таблица1[[#This Row],[Количество ФИАС на 02.08.20182]]</f>
        <v>498</v>
      </c>
      <c r="Z32" s="15">
        <f>Таблица1[[#This Row],[Количество 30.08.2018]]/Таблица1[[#This Row],[ПОН КС без линейных]]</f>
        <v>1.1597307221542228</v>
      </c>
      <c r="AA32" s="15">
        <f>Таблица1[[#This Row],[Количество 30.08.2018]]/Таблица1[[#This Row],[ПОН КС без линейных и месторождений]]</f>
        <v>1.1597307221542228</v>
      </c>
    </row>
    <row r="33" spans="1:27" hidden="1" x14ac:dyDescent="0.25">
      <c r="A33" s="4">
        <v>8610</v>
      </c>
      <c r="B33" s="5" t="s">
        <v>32</v>
      </c>
      <c r="C33" s="10">
        <v>1991</v>
      </c>
      <c r="D33" s="10">
        <v>2015</v>
      </c>
      <c r="E33" s="10">
        <v>1991</v>
      </c>
      <c r="F33" s="10"/>
      <c r="G33" s="10">
        <f>Таблица1[[#This Row],[Кол-во месторождений]]+Таблица1[[#This Row],[Количество ПОН КС (без месторождений)]]</f>
        <v>1991</v>
      </c>
      <c r="H33" s="6">
        <v>917</v>
      </c>
      <c r="I33" s="6">
        <v>880</v>
      </c>
      <c r="J33" s="6">
        <v>0</v>
      </c>
      <c r="K33" s="6">
        <f>Таблица1[[#This Row],[Количество ФИАС2]]-Таблица1[[#This Row],[Количество ФИАС]]</f>
        <v>-37</v>
      </c>
      <c r="L33" s="7">
        <f>Таблица1[[#This Row],[Количество ФИАС2]]*100/Таблица1[[#This Row],[Количество ПОН КС (без месторождений)]]</f>
        <v>44.19889502762431</v>
      </c>
      <c r="M33" s="13">
        <f>Таблица1[[#This Row],[Количество ПОН КС (с месторождений)]]+Таблица1[[#This Row],[Кол-во месторождений]]</f>
        <v>2015</v>
      </c>
      <c r="N33" s="6">
        <v>1073</v>
      </c>
      <c r="O33" s="10">
        <v>101</v>
      </c>
      <c r="P33" s="10">
        <v>0</v>
      </c>
      <c r="Q33" s="10">
        <f>Таблица1[[#This Row],[Количество ПОН КС (с месторождениями)]]-Таблица1[[#This Row],[Количество линейных объектов]]</f>
        <v>1890</v>
      </c>
      <c r="R3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1890</v>
      </c>
      <c r="S33" s="6">
        <v>880</v>
      </c>
      <c r="T33" s="6">
        <f>Таблица1[[#This Row],[Количество ФИАС на 02.08.20182]]-Таблица1[[#This Row],[Количество ФИАС2]]</f>
        <v>0</v>
      </c>
      <c r="U33" s="6">
        <v>1233</v>
      </c>
      <c r="V33" s="6">
        <v>2068</v>
      </c>
      <c r="W33" s="6">
        <f>SUM(Таблица1[[#This Row],[Количество 27.08.20182]]-Таблица1[[#This Row],[Количество ФИАС на 02.08.20182]])</f>
        <v>1188</v>
      </c>
      <c r="X33" s="6">
        <v>2071</v>
      </c>
      <c r="Y33" s="6">
        <f>Таблица1[[#This Row],[Количество 30.08.2018]]-Таблица1[[#This Row],[Количество ФИАС на 02.08.20182]]</f>
        <v>1191</v>
      </c>
      <c r="Z33" s="15">
        <f>Таблица1[[#This Row],[Количество 30.08.2018]]/Таблица1[[#This Row],[ПОН КС без линейных]]</f>
        <v>1.0957671957671957</v>
      </c>
      <c r="AA33" s="15">
        <f>Таблица1[[#This Row],[Количество 30.08.2018]]/Таблица1[[#This Row],[ПОН КС без линейных и месторождений]]</f>
        <v>1.0957671957671957</v>
      </c>
    </row>
    <row r="34" spans="1:27" hidden="1" x14ac:dyDescent="0.25">
      <c r="A34" s="4">
        <v>8610</v>
      </c>
      <c r="B34" s="5" t="s">
        <v>33</v>
      </c>
      <c r="C34" s="10">
        <v>193</v>
      </c>
      <c r="D34" s="10">
        <v>218</v>
      </c>
      <c r="E34" s="10">
        <v>193</v>
      </c>
      <c r="F34" s="10"/>
      <c r="G34" s="10">
        <f>Таблица1[[#This Row],[Кол-во месторождений]]+Таблица1[[#This Row],[Количество ПОН КС (без месторождений)]]</f>
        <v>193</v>
      </c>
      <c r="H34" s="6">
        <v>297</v>
      </c>
      <c r="I34" s="6">
        <v>291</v>
      </c>
      <c r="J34" s="6">
        <v>0</v>
      </c>
      <c r="K34" s="6">
        <f>Таблица1[[#This Row],[Количество ФИАС2]]-Таблица1[[#This Row],[Количество ФИАС]]</f>
        <v>-6</v>
      </c>
      <c r="L34" s="7">
        <f>Таблица1[[#This Row],[Количество ФИАС2]]*100/Таблица1[[#This Row],[Количество ПОН КС (без месторождений)]]</f>
        <v>150.77720207253887</v>
      </c>
      <c r="M34" s="13">
        <f>Таблица1[[#This Row],[Количество ПОН КС (с месторождений)]]+Таблица1[[#This Row],[Кол-во месторождений]]</f>
        <v>218</v>
      </c>
      <c r="N34" s="6">
        <v>315</v>
      </c>
      <c r="O34" s="10">
        <v>0</v>
      </c>
      <c r="P34" s="10">
        <v>0</v>
      </c>
      <c r="Q34" s="10">
        <f>Таблица1[[#This Row],[Количество ПОН КС (с месторождениями)]]-Таблица1[[#This Row],[Количество линейных объектов]]</f>
        <v>193</v>
      </c>
      <c r="R3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193</v>
      </c>
      <c r="S34" s="6">
        <v>292</v>
      </c>
      <c r="T34" s="6">
        <f>Таблица1[[#This Row],[Количество ФИАС на 02.08.20182]]-Таблица1[[#This Row],[Количество ФИАС2]]</f>
        <v>1</v>
      </c>
      <c r="U34" s="6">
        <v>295</v>
      </c>
      <c r="V34" s="6">
        <v>316</v>
      </c>
      <c r="W34" s="6">
        <f>SUM(Таблица1[[#This Row],[Количество 27.08.20182]]-Таблица1[[#This Row],[Количество ФИАС на 02.08.20182]])</f>
        <v>24</v>
      </c>
      <c r="X34" s="6">
        <v>316</v>
      </c>
      <c r="Y34" s="6">
        <f>Таблица1[[#This Row],[Количество 30.08.2018]]-Таблица1[[#This Row],[Количество ФИАС на 02.08.20182]]</f>
        <v>24</v>
      </c>
      <c r="Z34" s="15">
        <f>Таблица1[[#This Row],[Количество 30.08.2018]]/Таблица1[[#This Row],[ПОН КС без линейных]]</f>
        <v>1.6373056994818653</v>
      </c>
      <c r="AA34" s="15">
        <f>Таблица1[[#This Row],[Количество 30.08.2018]]/Таблица1[[#This Row],[ПОН КС без линейных и месторождений]]</f>
        <v>1.6373056994818653</v>
      </c>
    </row>
    <row r="35" spans="1:27" hidden="1" x14ac:dyDescent="0.25">
      <c r="A35" s="4">
        <v>8610</v>
      </c>
      <c r="B35" s="5" t="s">
        <v>34</v>
      </c>
      <c r="C35" s="10">
        <v>168</v>
      </c>
      <c r="D35" s="10">
        <v>537</v>
      </c>
      <c r="E35" s="10">
        <v>168</v>
      </c>
      <c r="F35" s="10"/>
      <c r="G35" s="10">
        <f>Таблица1[[#This Row],[Кол-во месторождений]]+Таблица1[[#This Row],[Количество ПОН КС (без месторождений)]]</f>
        <v>168</v>
      </c>
      <c r="H35" s="6">
        <v>156</v>
      </c>
      <c r="I35" s="6">
        <v>145</v>
      </c>
      <c r="J35" s="6">
        <v>0</v>
      </c>
      <c r="K35" s="6">
        <f>Таблица1[[#This Row],[Количество ФИАС2]]-Таблица1[[#This Row],[Количество ФИАС]]</f>
        <v>-11</v>
      </c>
      <c r="L35" s="7">
        <f>Таблица1[[#This Row],[Количество ФИАС2]]*100/Таблица1[[#This Row],[Количество ПОН КС (без месторождений)]]</f>
        <v>86.30952380952381</v>
      </c>
      <c r="M35" s="13">
        <f>Таблица1[[#This Row],[Количество ПОН КС (с месторождений)]]+Таблица1[[#This Row],[Кол-во месторождений]]</f>
        <v>537</v>
      </c>
      <c r="N35" s="6">
        <v>179</v>
      </c>
      <c r="O35" s="10">
        <v>0</v>
      </c>
      <c r="P35" s="10">
        <v>0</v>
      </c>
      <c r="Q35" s="10">
        <f>Таблица1[[#This Row],[Количество ПОН КС (с месторождениями)]]-Таблица1[[#This Row],[Количество линейных объектов]]</f>
        <v>168</v>
      </c>
      <c r="R3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168</v>
      </c>
      <c r="S35" s="6">
        <v>146</v>
      </c>
      <c r="T35" s="6">
        <f>Таблица1[[#This Row],[Количество ФИАС на 02.08.20182]]-Таблица1[[#This Row],[Количество ФИАС2]]</f>
        <v>1</v>
      </c>
      <c r="U35" s="6">
        <v>140</v>
      </c>
      <c r="V35" s="6">
        <v>180</v>
      </c>
      <c r="W35" s="6">
        <f>SUM(Таблица1[[#This Row],[Количество 27.08.20182]]-Таблица1[[#This Row],[Количество ФИАС на 02.08.20182]])</f>
        <v>34</v>
      </c>
      <c r="X35" s="6">
        <v>180</v>
      </c>
      <c r="Y35" s="6">
        <f>Таблица1[[#This Row],[Количество 30.08.2018]]-Таблица1[[#This Row],[Количество ФИАС на 02.08.20182]]</f>
        <v>34</v>
      </c>
      <c r="Z35" s="15">
        <f>Таблица1[[#This Row],[Количество 30.08.2018]]/Таблица1[[#This Row],[ПОН КС без линейных]]</f>
        <v>1.0714285714285714</v>
      </c>
      <c r="AA35" s="15">
        <f>Таблица1[[#This Row],[Количество 30.08.2018]]/Таблица1[[#This Row],[ПОН КС без линейных и месторождений]]</f>
        <v>1.0714285714285714</v>
      </c>
    </row>
    <row r="36" spans="1:27" hidden="1" x14ac:dyDescent="0.25">
      <c r="A36" s="4">
        <v>8610</v>
      </c>
      <c r="B36" s="5" t="s">
        <v>35</v>
      </c>
      <c r="C36" s="10">
        <v>91</v>
      </c>
      <c r="D36" s="10">
        <v>157</v>
      </c>
      <c r="E36" s="10">
        <v>91</v>
      </c>
      <c r="F36" s="10"/>
      <c r="G36" s="10">
        <f>Таблица1[[#This Row],[Кол-во месторождений]]+Таблица1[[#This Row],[Количество ПОН КС (без месторождений)]]</f>
        <v>91</v>
      </c>
      <c r="H36" s="6">
        <v>117</v>
      </c>
      <c r="I36" s="6">
        <v>111</v>
      </c>
      <c r="J36" s="6">
        <v>0</v>
      </c>
      <c r="K36" s="6">
        <f>Таблица1[[#This Row],[Количество ФИАС2]]-Таблица1[[#This Row],[Количество ФИАС]]</f>
        <v>-6</v>
      </c>
      <c r="L36" s="7">
        <f>Таблица1[[#This Row],[Количество ФИАС2]]*100/Таблица1[[#This Row],[Количество ПОН КС (без месторождений)]]</f>
        <v>121.97802197802197</v>
      </c>
      <c r="M36" s="13">
        <f>Таблица1[[#This Row],[Количество ПОН КС (с месторождений)]]+Таблица1[[#This Row],[Кол-во месторождений]]</f>
        <v>157</v>
      </c>
      <c r="N36" s="6">
        <v>116</v>
      </c>
      <c r="O36" s="10">
        <v>1</v>
      </c>
      <c r="P36" s="10">
        <v>0</v>
      </c>
      <c r="Q36" s="10">
        <f>Таблица1[[#This Row],[Количество ПОН КС (с месторождениями)]]-Таблица1[[#This Row],[Количество линейных объектов]]</f>
        <v>90</v>
      </c>
      <c r="R3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90</v>
      </c>
      <c r="S36" s="6">
        <v>111</v>
      </c>
      <c r="T36" s="6">
        <f>Таблица1[[#This Row],[Количество ФИАС на 02.08.20182]]-Таблица1[[#This Row],[Количество ФИАС2]]</f>
        <v>0</v>
      </c>
      <c r="U36" s="6">
        <v>110</v>
      </c>
      <c r="V36" s="6">
        <v>116</v>
      </c>
      <c r="W36" s="6">
        <f>SUM(Таблица1[[#This Row],[Количество 27.08.20182]]-Таблица1[[#This Row],[Количество ФИАС на 02.08.20182]])</f>
        <v>5</v>
      </c>
      <c r="X36" s="6">
        <v>116</v>
      </c>
      <c r="Y36" s="6">
        <f>Таблица1[[#This Row],[Количество 30.08.2018]]-Таблица1[[#This Row],[Количество ФИАС на 02.08.20182]]</f>
        <v>5</v>
      </c>
      <c r="Z36" s="15">
        <f>Таблица1[[#This Row],[Количество 30.08.2018]]/Таблица1[[#This Row],[ПОН КС без линейных]]</f>
        <v>1.288888888888889</v>
      </c>
      <c r="AA36" s="15">
        <f>Таблица1[[#This Row],[Количество 30.08.2018]]/Таблица1[[#This Row],[ПОН КС без линейных и месторождений]]</f>
        <v>1.288888888888889</v>
      </c>
    </row>
    <row r="37" spans="1:27" hidden="1" x14ac:dyDescent="0.25">
      <c r="A37" s="4">
        <v>8610</v>
      </c>
      <c r="B37" s="5" t="s">
        <v>36</v>
      </c>
      <c r="C37" s="10">
        <v>1595</v>
      </c>
      <c r="D37" s="10">
        <v>1764</v>
      </c>
      <c r="E37" s="10">
        <v>1595</v>
      </c>
      <c r="F37" s="10"/>
      <c r="G37" s="10">
        <f>Таблица1[[#This Row],[Кол-во месторождений]]+Таблица1[[#This Row],[Количество ПОН КС (без месторождений)]]</f>
        <v>1595</v>
      </c>
      <c r="H37" s="6">
        <v>1404</v>
      </c>
      <c r="I37" s="6">
        <v>1389</v>
      </c>
      <c r="J37" s="6">
        <v>0</v>
      </c>
      <c r="K37" s="6">
        <f>Таблица1[[#This Row],[Количество ФИАС2]]-Таблица1[[#This Row],[Количество ФИАС]]</f>
        <v>-15</v>
      </c>
      <c r="L37" s="7">
        <f>Таблица1[[#This Row],[Количество ФИАС2]]*100/Таблица1[[#This Row],[Количество ПОН КС (без месторождений)]]</f>
        <v>87.084639498432608</v>
      </c>
      <c r="M37" s="13">
        <f>Таблица1[[#This Row],[Количество ПОН КС (с месторождений)]]+Таблица1[[#This Row],[Кол-во месторождений]]</f>
        <v>1764</v>
      </c>
      <c r="N37" s="6">
        <v>1381</v>
      </c>
      <c r="O37" s="10">
        <v>131</v>
      </c>
      <c r="P37" s="10">
        <v>0</v>
      </c>
      <c r="Q37" s="10">
        <f>Таблица1[[#This Row],[Количество ПОН КС (с месторождениями)]]-Таблица1[[#This Row],[Количество линейных объектов]]</f>
        <v>1464</v>
      </c>
      <c r="R3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1464</v>
      </c>
      <c r="S37" s="6">
        <v>1394</v>
      </c>
      <c r="T37" s="6">
        <f>Таблица1[[#This Row],[Количество ФИАС на 02.08.20182]]-Таблица1[[#This Row],[Количество ФИАС2]]</f>
        <v>5</v>
      </c>
      <c r="U37" s="6">
        <v>1361</v>
      </c>
      <c r="V37" s="6">
        <v>1524</v>
      </c>
      <c r="W37" s="6">
        <f>SUM(Таблица1[[#This Row],[Количество 27.08.20182]]-Таблица1[[#This Row],[Количество ФИАС на 02.08.20182]])</f>
        <v>130</v>
      </c>
      <c r="X37" s="6">
        <v>1524</v>
      </c>
      <c r="Y37" s="6">
        <f>Таблица1[[#This Row],[Количество 30.08.2018]]-Таблица1[[#This Row],[Количество ФИАС на 02.08.20182]]</f>
        <v>130</v>
      </c>
      <c r="Z37" s="15">
        <f>Таблица1[[#This Row],[Количество 30.08.2018]]/Таблица1[[#This Row],[ПОН КС без линейных]]</f>
        <v>1.040983606557377</v>
      </c>
      <c r="AA37" s="15">
        <f>Таблица1[[#This Row],[Количество 30.08.2018]]/Таблица1[[#This Row],[ПОН КС без линейных и месторождений]]</f>
        <v>1.040983606557377</v>
      </c>
    </row>
    <row r="38" spans="1:27" hidden="1" x14ac:dyDescent="0.25">
      <c r="A38" s="4">
        <v>8610</v>
      </c>
      <c r="B38" s="5" t="s">
        <v>37</v>
      </c>
      <c r="C38" s="10">
        <v>421</v>
      </c>
      <c r="D38" s="10">
        <v>424</v>
      </c>
      <c r="E38" s="10">
        <v>421</v>
      </c>
      <c r="F38" s="10"/>
      <c r="G38" s="10">
        <f>Таблица1[[#This Row],[Кол-во месторождений]]+Таблица1[[#This Row],[Количество ПОН КС (без месторождений)]]</f>
        <v>421</v>
      </c>
      <c r="H38" s="6">
        <v>279</v>
      </c>
      <c r="I38" s="6">
        <v>268</v>
      </c>
      <c r="J38" s="6">
        <v>0</v>
      </c>
      <c r="K38" s="6">
        <f>Таблица1[[#This Row],[Количество ФИАС2]]-Таблица1[[#This Row],[Количество ФИАС]]</f>
        <v>-11</v>
      </c>
      <c r="L38" s="7">
        <f>Таблица1[[#This Row],[Количество ФИАС2]]*100/Таблица1[[#This Row],[Количество ПОН КС (без месторождений)]]</f>
        <v>63.657957244655584</v>
      </c>
      <c r="M38" s="13">
        <f>Таблица1[[#This Row],[Количество ПОН КС (с месторождений)]]+Таблица1[[#This Row],[Кол-во месторождений]]</f>
        <v>424</v>
      </c>
      <c r="N38" s="6">
        <v>281</v>
      </c>
      <c r="O38" s="10">
        <v>8</v>
      </c>
      <c r="P38" s="10">
        <v>0</v>
      </c>
      <c r="Q38" s="10">
        <f>Таблица1[[#This Row],[Количество ПОН КС (с месторождениями)]]-Таблица1[[#This Row],[Количество линейных объектов]]</f>
        <v>413</v>
      </c>
      <c r="R3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413</v>
      </c>
      <c r="S38" s="6">
        <v>268</v>
      </c>
      <c r="T38" s="6">
        <f>Таблица1[[#This Row],[Количество ФИАС на 02.08.20182]]-Таблица1[[#This Row],[Количество ФИАС2]]</f>
        <v>0</v>
      </c>
      <c r="U38" s="6">
        <v>268</v>
      </c>
      <c r="V38" s="6">
        <v>345</v>
      </c>
      <c r="W38" s="6">
        <f>SUM(Таблица1[[#This Row],[Количество 27.08.20182]]-Таблица1[[#This Row],[Количество ФИАС на 02.08.20182]])</f>
        <v>77</v>
      </c>
      <c r="X38" s="6">
        <v>386</v>
      </c>
      <c r="Y38" s="6">
        <f>Таблица1[[#This Row],[Количество 30.08.2018]]-Таблица1[[#This Row],[Количество ФИАС на 02.08.20182]]</f>
        <v>118</v>
      </c>
      <c r="Z38" s="15">
        <f>Таблица1[[#This Row],[Количество 30.08.2018]]/Таблица1[[#This Row],[ПОН КС без линейных]]</f>
        <v>0.93462469733656173</v>
      </c>
      <c r="AA38" s="15">
        <f>Таблица1[[#This Row],[Количество 30.08.2018]]/Таблица1[[#This Row],[ПОН КС без линейных и месторождений]]</f>
        <v>0.93462469733656173</v>
      </c>
    </row>
    <row r="39" spans="1:27" hidden="1" x14ac:dyDescent="0.25">
      <c r="A39" s="4">
        <v>8610</v>
      </c>
      <c r="B39" s="5" t="s">
        <v>38</v>
      </c>
      <c r="C39" s="10">
        <v>261</v>
      </c>
      <c r="D39" s="10">
        <v>261</v>
      </c>
      <c r="E39" s="10">
        <v>261</v>
      </c>
      <c r="F39" s="10"/>
      <c r="G39" s="10">
        <f>Таблица1[[#This Row],[Кол-во месторождений]]+Таблица1[[#This Row],[Количество ПОН КС (без месторождений)]]</f>
        <v>261</v>
      </c>
      <c r="H39" s="6">
        <v>304</v>
      </c>
      <c r="I39" s="6">
        <v>304</v>
      </c>
      <c r="J39" s="6">
        <v>0</v>
      </c>
      <c r="K39" s="6">
        <f>Таблица1[[#This Row],[Количество ФИАС2]]-Таблица1[[#This Row],[Количество ФИАС]]</f>
        <v>0</v>
      </c>
      <c r="L39" s="7">
        <f>Таблица1[[#This Row],[Количество ФИАС2]]*100/Таблица1[[#This Row],[Количество ПОН КС (без месторождений)]]</f>
        <v>116.47509578544062</v>
      </c>
      <c r="M39" s="13">
        <f>Таблица1[[#This Row],[Количество ПОН КС (с месторождений)]]+Таблица1[[#This Row],[Кол-во месторождений]]</f>
        <v>261</v>
      </c>
      <c r="N39" s="6">
        <v>360</v>
      </c>
      <c r="O39" s="10">
        <v>0</v>
      </c>
      <c r="P39" s="10">
        <v>0</v>
      </c>
      <c r="Q39" s="10">
        <f>Таблица1[[#This Row],[Количество ПОН КС (с месторождениями)]]-Таблица1[[#This Row],[Количество линейных объектов]]</f>
        <v>261</v>
      </c>
      <c r="R3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261</v>
      </c>
      <c r="S39" s="6">
        <v>304</v>
      </c>
      <c r="T39" s="6">
        <f>Таблица1[[#This Row],[Количество ФИАС на 02.08.20182]]-Таблица1[[#This Row],[Количество ФИАС2]]</f>
        <v>0</v>
      </c>
      <c r="U39" s="6">
        <v>301</v>
      </c>
      <c r="V39" s="6">
        <v>417</v>
      </c>
      <c r="W39" s="6">
        <f>SUM(Таблица1[[#This Row],[Количество 27.08.20182]]-Таблица1[[#This Row],[Количество ФИАС на 02.08.20182]])</f>
        <v>113</v>
      </c>
      <c r="X39" s="6">
        <v>405</v>
      </c>
      <c r="Y39" s="6">
        <f>Таблица1[[#This Row],[Количество 30.08.2018]]-Таблица1[[#This Row],[Количество ФИАС на 02.08.20182]]</f>
        <v>101</v>
      </c>
      <c r="Z39" s="15">
        <f>Таблица1[[#This Row],[Количество 30.08.2018]]/Таблица1[[#This Row],[ПОН КС без линейных]]</f>
        <v>1.5517241379310345</v>
      </c>
      <c r="AA39" s="15">
        <f>Таблица1[[#This Row],[Количество 30.08.2018]]/Таблица1[[#This Row],[ПОН КС без линейных и месторождений]]</f>
        <v>1.5517241379310345</v>
      </c>
    </row>
    <row r="40" spans="1:27" hidden="1" x14ac:dyDescent="0.25">
      <c r="A40" s="4">
        <v>8610</v>
      </c>
      <c r="B40" s="5" t="s">
        <v>99</v>
      </c>
      <c r="C40" s="10">
        <v>2125</v>
      </c>
      <c r="D40" s="10">
        <v>2178</v>
      </c>
      <c r="E40" s="10">
        <v>2125</v>
      </c>
      <c r="F40" s="10">
        <v>726</v>
      </c>
      <c r="G40" s="10">
        <f>Таблица1[[#This Row],[Кол-во месторождений]]+Таблица1[[#This Row],[Количество ПОН КС (без месторождений)]]</f>
        <v>2851</v>
      </c>
      <c r="H40" s="6">
        <v>1213</v>
      </c>
      <c r="I40" s="6">
        <v>1213</v>
      </c>
      <c r="J40" s="6">
        <v>0</v>
      </c>
      <c r="K40" s="6">
        <f>Таблица1[[#This Row],[Количество ФИАС2]]-Таблица1[[#This Row],[Количество ФИАС]]</f>
        <v>0</v>
      </c>
      <c r="L40" s="7">
        <f>Таблица1[[#This Row],[Количество ФИАС2]]*100/Таблица1[[#This Row],[Количество ПОН КС (без месторождений)]]</f>
        <v>57.082352941176474</v>
      </c>
      <c r="M40" s="13">
        <f>Таблица1[[#This Row],[Количество ПОН КС (с месторождений)]]+Таблица1[[#This Row],[Кол-во месторождений]]</f>
        <v>2904</v>
      </c>
      <c r="N40" s="6">
        <v>1304</v>
      </c>
      <c r="O40" s="10">
        <v>340</v>
      </c>
      <c r="P40" s="10">
        <v>38</v>
      </c>
      <c r="Q40" s="10">
        <f>Таблица1[[#This Row],[Количество ПОН КС (с месторождениями)]]-Таблица1[[#This Row],[Количество линейных объектов]]</f>
        <v>2511</v>
      </c>
      <c r="R4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1823</v>
      </c>
      <c r="S40" s="6">
        <v>1213</v>
      </c>
      <c r="T40" s="6">
        <f>Таблица1[[#This Row],[Количество ФИАС на 02.08.20182]]-Таблица1[[#This Row],[Количество ФИАС2]]</f>
        <v>0</v>
      </c>
      <c r="U40" s="6">
        <v>1192</v>
      </c>
      <c r="V40" s="6">
        <v>1301</v>
      </c>
      <c r="W40" s="6">
        <f>SUM(Таблица1[[#This Row],[Количество 27.08.20182]]-Таблица1[[#This Row],[Количество ФИАС на 02.08.20182]])</f>
        <v>88</v>
      </c>
      <c r="X40" s="6">
        <v>1304</v>
      </c>
      <c r="Y40" s="6">
        <f>Таблица1[[#This Row],[Количество 30.08.2018]]-Таблица1[[#This Row],[Количество ФИАС на 02.08.20182]]</f>
        <v>91</v>
      </c>
      <c r="Z40" s="15">
        <f>Таблица1[[#This Row],[Количество 30.08.2018]]/Таблица1[[#This Row],[ПОН КС без линейных]]</f>
        <v>0.51931501393866986</v>
      </c>
      <c r="AA40" s="15">
        <f>Таблица1[[#This Row],[Количество 30.08.2018]]/Таблица1[[#This Row],[ПОН КС без линейных и месторождений]]</f>
        <v>0.7153044432254525</v>
      </c>
    </row>
    <row r="41" spans="1:27" hidden="1" x14ac:dyDescent="0.25">
      <c r="A41" s="4">
        <v>8622</v>
      </c>
      <c r="B41" s="5" t="s">
        <v>39</v>
      </c>
      <c r="C41" s="10">
        <v>22430</v>
      </c>
      <c r="D41" s="10">
        <v>23401</v>
      </c>
      <c r="E41" s="10">
        <v>22430</v>
      </c>
      <c r="F41" s="10">
        <v>775</v>
      </c>
      <c r="G41" s="10">
        <f>Таблица1[[#This Row],[Кол-во месторождений]]+Таблица1[[#This Row],[Количество ПОН КС (без месторождений)]]</f>
        <v>23205</v>
      </c>
      <c r="H41" s="6">
        <v>15233</v>
      </c>
      <c r="I41" s="6">
        <v>15359</v>
      </c>
      <c r="J41" s="6">
        <v>0</v>
      </c>
      <c r="K41" s="6">
        <f>Таблица1[[#This Row],[Количество ФИАС2]]-Таблица1[[#This Row],[Количество ФИАС]]</f>
        <v>126</v>
      </c>
      <c r="L41" s="7">
        <f>Таблица1[[#This Row],[Количество ФИАС2]]*100/Таблица1[[#This Row],[Количество ПОН КС (без месторождений)]]</f>
        <v>68.47525635309853</v>
      </c>
      <c r="M41" s="13">
        <f>Таблица1[[#This Row],[Количество ПОН КС (с месторождений)]]+Таблица1[[#This Row],[Кол-во месторождений]]</f>
        <v>24176</v>
      </c>
      <c r="N41" s="6">
        <v>16310</v>
      </c>
      <c r="O41" s="10">
        <v>300</v>
      </c>
      <c r="P41" s="10">
        <v>0</v>
      </c>
      <c r="Q41" s="10">
        <f>Таблица1[[#This Row],[Количество ПОН КС (с месторождениями)]]-Таблица1[[#This Row],[Количество линейных объектов]]</f>
        <v>22905</v>
      </c>
      <c r="R4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22130</v>
      </c>
      <c r="S41" s="6">
        <v>15467</v>
      </c>
      <c r="T41" s="6">
        <f>Таблица1[[#This Row],[Количество ФИАС на 02.08.20182]]-Таблица1[[#This Row],[Количество ФИАС2]]</f>
        <v>108</v>
      </c>
      <c r="U41" s="6">
        <v>16383</v>
      </c>
      <c r="V41" s="6">
        <v>16669</v>
      </c>
      <c r="W41" s="6">
        <f>SUM(Таблица1[[#This Row],[Количество 27.08.20182]]-Таблица1[[#This Row],[Количество ФИАС на 02.08.20182]])</f>
        <v>1202</v>
      </c>
      <c r="X41" s="6">
        <v>16685</v>
      </c>
      <c r="Y41" s="6">
        <f>Таблица1[[#This Row],[Количество 30.08.2018]]-Таблица1[[#This Row],[Количество ФИАС на 02.08.20182]]</f>
        <v>1218</v>
      </c>
      <c r="Z41" s="15">
        <f>Таблица1[[#This Row],[Количество 30.08.2018]]/Таблица1[[#This Row],[ПОН КС без линейных]]</f>
        <v>0.72844357127264792</v>
      </c>
      <c r="AA41" s="15">
        <f>Таблица1[[#This Row],[Количество 30.08.2018]]/Таблица1[[#This Row],[ПОН КС без линейных и месторождений]]</f>
        <v>0.75395390872119294</v>
      </c>
    </row>
    <row r="42" spans="1:27" hidden="1" x14ac:dyDescent="0.25">
      <c r="A42" s="4">
        <v>8622</v>
      </c>
      <c r="B42" s="5" t="s">
        <v>101</v>
      </c>
      <c r="C42" s="10">
        <v>1710</v>
      </c>
      <c r="D42" s="10">
        <v>4672</v>
      </c>
      <c r="E42" s="10">
        <v>1710</v>
      </c>
      <c r="F42" s="10"/>
      <c r="G42" s="10">
        <f>Таблица1[[#This Row],[Кол-во месторождений]]+Таблица1[[#This Row],[Количество ПОН КС (без месторождений)]]</f>
        <v>1710</v>
      </c>
      <c r="H42" s="6">
        <v>328</v>
      </c>
      <c r="I42" s="6">
        <v>328</v>
      </c>
      <c r="J42" s="6">
        <v>0</v>
      </c>
      <c r="K42" s="6">
        <f>Таблица1[[#This Row],[Количество ФИАС2]]-Таблица1[[#This Row],[Количество ФИАС]]</f>
        <v>0</v>
      </c>
      <c r="L42" s="7">
        <f>Таблица1[[#This Row],[Количество ФИАС2]]*100/Таблица1[[#This Row],[Количество ПОН КС (без месторождений)]]</f>
        <v>19.181286549707604</v>
      </c>
      <c r="M42" s="13">
        <f>Таблица1[[#This Row],[Количество ПОН КС (с месторождений)]]+Таблица1[[#This Row],[Кол-во месторождений]]</f>
        <v>4672</v>
      </c>
      <c r="N42" s="6">
        <v>333</v>
      </c>
      <c r="O42" s="10">
        <v>391</v>
      </c>
      <c r="P42" s="10">
        <v>0</v>
      </c>
      <c r="Q42" s="10">
        <f>Таблица1[[#This Row],[Количество ПОН КС (с месторождениями)]]-Таблица1[[#This Row],[Количество линейных объектов]]</f>
        <v>1319</v>
      </c>
      <c r="R4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1319</v>
      </c>
      <c r="S42" s="6">
        <v>332</v>
      </c>
      <c r="T42" s="6">
        <f>Таблица1[[#This Row],[Количество ФИАС на 02.08.20182]]-Таблица1[[#This Row],[Количество ФИАС2]]</f>
        <v>4</v>
      </c>
      <c r="U42" s="6">
        <v>332</v>
      </c>
      <c r="V42" s="6">
        <v>333</v>
      </c>
      <c r="W42" s="6">
        <f>SUM(Таблица1[[#This Row],[Количество 27.08.20182]]-Таблица1[[#This Row],[Количество ФИАС на 02.08.20182]])</f>
        <v>1</v>
      </c>
      <c r="X42" s="6">
        <v>333</v>
      </c>
      <c r="Y42" s="6">
        <f>Таблица1[[#This Row],[Количество 30.08.2018]]-Таблица1[[#This Row],[Количество ФИАС на 02.08.20182]]</f>
        <v>1</v>
      </c>
      <c r="Z42" s="15">
        <f>Таблица1[[#This Row],[Количество 30.08.2018]]/Таблица1[[#This Row],[ПОН КС без линейных]]</f>
        <v>0.25246398786959817</v>
      </c>
      <c r="AA42" s="15">
        <f>Таблица1[[#This Row],[Количество 30.08.2018]]/Таблица1[[#This Row],[ПОН КС без линейных и месторождений]]</f>
        <v>0.25246398786959817</v>
      </c>
    </row>
    <row r="43" spans="1:27" hidden="1" x14ac:dyDescent="0.25">
      <c r="A43" s="4">
        <v>8622</v>
      </c>
      <c r="B43" s="5" t="s">
        <v>40</v>
      </c>
      <c r="C43" s="10">
        <v>17024</v>
      </c>
      <c r="D43" s="10">
        <v>14919</v>
      </c>
      <c r="E43" s="10">
        <v>17024</v>
      </c>
      <c r="F43" s="10">
        <v>237</v>
      </c>
      <c r="G43" s="10">
        <f>Таблица1[[#This Row],[Кол-во месторождений]]+Таблица1[[#This Row],[Количество ПОН КС (без месторождений)]]</f>
        <v>17261</v>
      </c>
      <c r="H43" s="6">
        <v>4565</v>
      </c>
      <c r="I43" s="6">
        <v>4569</v>
      </c>
      <c r="J43" s="6">
        <v>102</v>
      </c>
      <c r="K43" s="6">
        <f>Таблица1[[#This Row],[Количество ФИАС2]]-Таблица1[[#This Row],[Количество ФИАС]]</f>
        <v>4</v>
      </c>
      <c r="L43" s="7">
        <f>Таблица1[[#This Row],[Количество ФИАС2]]*100/Таблица1[[#This Row],[Количество ПОН КС (без месторождений)]]</f>
        <v>26.83858082706767</v>
      </c>
      <c r="M43" s="13">
        <f>Таблица1[[#This Row],[Количество ПОН КС (с месторождений)]]+Таблица1[[#This Row],[Кол-во месторождений]]</f>
        <v>15156</v>
      </c>
      <c r="N43" s="6">
        <v>5119</v>
      </c>
      <c r="O43" s="10">
        <v>1168</v>
      </c>
      <c r="P43" s="10">
        <v>12</v>
      </c>
      <c r="Q43" s="10">
        <f>Таблица1[[#This Row],[Количество ПОН КС (с месторождениями)]]-Таблица1[[#This Row],[Количество линейных объектов]]</f>
        <v>16093</v>
      </c>
      <c r="R4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15868</v>
      </c>
      <c r="S43" s="6">
        <v>4566</v>
      </c>
      <c r="T43" s="6">
        <f>Таблица1[[#This Row],[Количество ФИАС на 02.08.20182]]-Таблица1[[#This Row],[Количество ФИАС2]]</f>
        <v>-3</v>
      </c>
      <c r="U43" s="6">
        <v>4640</v>
      </c>
      <c r="V43" s="6">
        <v>10619</v>
      </c>
      <c r="W43" s="6">
        <f>SUM(Таблица1[[#This Row],[Количество 27.08.20182]]-Таблица1[[#This Row],[Количество ФИАС на 02.08.20182]])</f>
        <v>6053</v>
      </c>
      <c r="X43" s="6">
        <v>10648</v>
      </c>
      <c r="Y43" s="6">
        <f>Таблица1[[#This Row],[Количество 30.08.2018]]-Таблица1[[#This Row],[Количество ФИАС на 02.08.20182]]</f>
        <v>6082</v>
      </c>
      <c r="Z43" s="15">
        <f>Таблица1[[#This Row],[Количество 30.08.2018]]/Таблица1[[#This Row],[ПОН КС без линейных]]</f>
        <v>0.66165413533834583</v>
      </c>
      <c r="AA43" s="15">
        <f>Таблица1[[#This Row],[Количество 30.08.2018]]/Таблица1[[#This Row],[ПОН КС без линейных и месторождений]]</f>
        <v>0.67103604739097555</v>
      </c>
    </row>
    <row r="44" spans="1:27" hidden="1" x14ac:dyDescent="0.25">
      <c r="A44" s="4">
        <v>8622</v>
      </c>
      <c r="B44" s="5" t="s">
        <v>41</v>
      </c>
      <c r="C44" s="10">
        <v>1176</v>
      </c>
      <c r="D44" s="10">
        <v>1179</v>
      </c>
      <c r="E44" s="10">
        <v>1176</v>
      </c>
      <c r="F44" s="10"/>
      <c r="G44" s="10">
        <f>Таблица1[[#This Row],[Кол-во месторождений]]+Таблица1[[#This Row],[Количество ПОН КС (без месторождений)]]</f>
        <v>1176</v>
      </c>
      <c r="H44" s="6">
        <v>1242</v>
      </c>
      <c r="I44" s="6">
        <v>1243</v>
      </c>
      <c r="J44" s="6">
        <v>0</v>
      </c>
      <c r="K44" s="6">
        <f>Таблица1[[#This Row],[Количество ФИАС2]]-Таблица1[[#This Row],[Количество ФИАС]]</f>
        <v>1</v>
      </c>
      <c r="L44" s="7">
        <f>Таблица1[[#This Row],[Количество ФИАС2]]*100/Таблица1[[#This Row],[Количество ПОН КС (без месторождений)]]</f>
        <v>105.69727891156462</v>
      </c>
      <c r="M44" s="13">
        <f>Таблица1[[#This Row],[Количество ПОН КС (с месторождений)]]+Таблица1[[#This Row],[Кол-во месторождений]]</f>
        <v>1179</v>
      </c>
      <c r="N44" s="6">
        <v>1259</v>
      </c>
      <c r="O44" s="10">
        <v>11</v>
      </c>
      <c r="P44" s="10">
        <v>0</v>
      </c>
      <c r="Q44" s="10">
        <f>Таблица1[[#This Row],[Количество ПОН КС (с месторождениями)]]-Таблица1[[#This Row],[Количество линейных объектов]]</f>
        <v>1165</v>
      </c>
      <c r="R4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1165</v>
      </c>
      <c r="S44" s="6">
        <v>1243</v>
      </c>
      <c r="T44" s="6">
        <f>Таблица1[[#This Row],[Количество ФИАС на 02.08.20182]]-Таблица1[[#This Row],[Количество ФИАС2]]</f>
        <v>0</v>
      </c>
      <c r="U44" s="6">
        <v>1256</v>
      </c>
      <c r="V44" s="6">
        <v>1259</v>
      </c>
      <c r="W44" s="6">
        <f>SUM(Таблица1[[#This Row],[Количество 27.08.20182]]-Таблица1[[#This Row],[Количество ФИАС на 02.08.20182]])</f>
        <v>16</v>
      </c>
      <c r="X44" s="6">
        <v>1259</v>
      </c>
      <c r="Y44" s="6">
        <f>Таблица1[[#This Row],[Количество 30.08.2018]]-Таблица1[[#This Row],[Количество ФИАС на 02.08.20182]]</f>
        <v>16</v>
      </c>
      <c r="Z44" s="15">
        <f>Таблица1[[#This Row],[Количество 30.08.2018]]/Таблица1[[#This Row],[ПОН КС без линейных]]</f>
        <v>1.08068669527897</v>
      </c>
      <c r="AA44" s="15">
        <f>Таблица1[[#This Row],[Количество 30.08.2018]]/Таблица1[[#This Row],[ПОН КС без линейных и месторождений]]</f>
        <v>1.08068669527897</v>
      </c>
    </row>
    <row r="45" spans="1:27" hidden="1" x14ac:dyDescent="0.25">
      <c r="A45" s="4">
        <v>8622</v>
      </c>
      <c r="B45" s="5" t="s">
        <v>42</v>
      </c>
      <c r="C45" s="10">
        <v>816</v>
      </c>
      <c r="D45" s="10">
        <v>857</v>
      </c>
      <c r="E45" s="10">
        <v>816</v>
      </c>
      <c r="F45" s="10"/>
      <c r="G45" s="10">
        <f>Таблица1[[#This Row],[Кол-во месторождений]]+Таблица1[[#This Row],[Количество ПОН КС (без месторождений)]]</f>
        <v>816</v>
      </c>
      <c r="H45" s="6">
        <v>399</v>
      </c>
      <c r="I45" s="6">
        <v>399</v>
      </c>
      <c r="J45" s="6">
        <v>0</v>
      </c>
      <c r="K45" s="6">
        <f>Таблица1[[#This Row],[Количество ФИАС2]]-Таблица1[[#This Row],[Количество ФИАС]]</f>
        <v>0</v>
      </c>
      <c r="L45" s="7">
        <f>Таблица1[[#This Row],[Количество ФИАС2]]*100/Таблица1[[#This Row],[Количество ПОН КС (без месторождений)]]</f>
        <v>48.897058823529413</v>
      </c>
      <c r="M45" s="13">
        <f>Таблица1[[#This Row],[Количество ПОН КС (с месторождений)]]+Таблица1[[#This Row],[Кол-во месторождений]]</f>
        <v>857</v>
      </c>
      <c r="N45" s="6">
        <v>406</v>
      </c>
      <c r="O45" s="10">
        <v>13</v>
      </c>
      <c r="P45" s="10">
        <v>0</v>
      </c>
      <c r="Q45" s="10">
        <f>Таблица1[[#This Row],[Количество ПОН КС (с месторождениями)]]-Таблица1[[#This Row],[Количество линейных объектов]]</f>
        <v>803</v>
      </c>
      <c r="R4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803</v>
      </c>
      <c r="S45" s="6">
        <v>411</v>
      </c>
      <c r="T45" s="6">
        <f>Таблица1[[#This Row],[Количество ФИАС на 02.08.20182]]-Таблица1[[#This Row],[Количество ФИАС2]]</f>
        <v>12</v>
      </c>
      <c r="U45" s="6">
        <v>816</v>
      </c>
      <c r="V45" s="6">
        <v>963</v>
      </c>
      <c r="W45" s="6">
        <f>SUM(Таблица1[[#This Row],[Количество 27.08.20182]]-Таблица1[[#This Row],[Количество ФИАС на 02.08.20182]])</f>
        <v>552</v>
      </c>
      <c r="X45" s="6">
        <v>964</v>
      </c>
      <c r="Y45" s="6">
        <f>Таблица1[[#This Row],[Количество 30.08.2018]]-Таблица1[[#This Row],[Количество ФИАС на 02.08.20182]]</f>
        <v>553</v>
      </c>
      <c r="Z45" s="15">
        <f>Таблица1[[#This Row],[Количество 30.08.2018]]/Таблица1[[#This Row],[ПОН КС без линейных]]</f>
        <v>1.2004981320049812</v>
      </c>
      <c r="AA45" s="15">
        <f>Таблица1[[#This Row],[Количество 30.08.2018]]/Таблица1[[#This Row],[ПОН КС без линейных и месторождений]]</f>
        <v>1.2004981320049812</v>
      </c>
    </row>
    <row r="46" spans="1:27" hidden="1" x14ac:dyDescent="0.25">
      <c r="A46" s="4">
        <v>8622</v>
      </c>
      <c r="B46" s="5" t="s">
        <v>43</v>
      </c>
      <c r="C46" s="10">
        <v>793</v>
      </c>
      <c r="D46" s="10">
        <v>793</v>
      </c>
      <c r="E46" s="10">
        <v>793</v>
      </c>
      <c r="F46" s="10"/>
      <c r="G46" s="10">
        <f>Таблица1[[#This Row],[Кол-во месторождений]]+Таблица1[[#This Row],[Количество ПОН КС (без месторождений)]]</f>
        <v>793</v>
      </c>
      <c r="H46" s="6">
        <v>1176</v>
      </c>
      <c r="I46" s="6">
        <v>1176</v>
      </c>
      <c r="J46" s="6">
        <v>0</v>
      </c>
      <c r="K46" s="6">
        <f>Таблица1[[#This Row],[Количество ФИАС2]]-Таблица1[[#This Row],[Количество ФИАС]]</f>
        <v>0</v>
      </c>
      <c r="L46" s="7">
        <f>Таблица1[[#This Row],[Количество ФИАС2]]*100/Таблица1[[#This Row],[Количество ПОН КС (без месторождений)]]</f>
        <v>148.29760403530895</v>
      </c>
      <c r="M46" s="13">
        <f>Таблица1[[#This Row],[Количество ПОН КС (с месторождений)]]+Таблица1[[#This Row],[Кол-во месторождений]]</f>
        <v>793</v>
      </c>
      <c r="N46" s="6">
        <v>1178</v>
      </c>
      <c r="O46" s="10">
        <v>10</v>
      </c>
      <c r="P46" s="10">
        <v>0</v>
      </c>
      <c r="Q46" s="10">
        <f>Таблица1[[#This Row],[Количество ПОН КС (с месторождениями)]]-Таблица1[[#This Row],[Количество линейных объектов]]</f>
        <v>783</v>
      </c>
      <c r="R4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783</v>
      </c>
      <c r="S46" s="6">
        <v>1209</v>
      </c>
      <c r="T46" s="6">
        <f>Таблица1[[#This Row],[Количество ФИАС на 02.08.20182]]-Таблица1[[#This Row],[Количество ФИАС2]]</f>
        <v>33</v>
      </c>
      <c r="U46" s="6">
        <v>1207</v>
      </c>
      <c r="V46" s="6">
        <v>1210</v>
      </c>
      <c r="W46" s="6">
        <f>SUM(Таблица1[[#This Row],[Количество 27.08.20182]]-Таблица1[[#This Row],[Количество ФИАС на 02.08.20182]])</f>
        <v>1</v>
      </c>
      <c r="X46" s="6">
        <v>1210</v>
      </c>
      <c r="Y46" s="6">
        <f>Таблица1[[#This Row],[Количество 30.08.2018]]-Таблица1[[#This Row],[Количество ФИАС на 02.08.20182]]</f>
        <v>1</v>
      </c>
      <c r="Z46" s="15">
        <f>Таблица1[[#This Row],[Количество 30.08.2018]]/Таблица1[[#This Row],[ПОН КС без линейных]]</f>
        <v>1.5453384418901661</v>
      </c>
      <c r="AA46" s="15">
        <f>Таблица1[[#This Row],[Количество 30.08.2018]]/Таблица1[[#This Row],[ПОН КС без линейных и месторождений]]</f>
        <v>1.5453384418901661</v>
      </c>
    </row>
    <row r="47" spans="1:27" hidden="1" x14ac:dyDescent="0.25">
      <c r="A47" s="4">
        <v>8622</v>
      </c>
      <c r="B47" s="5" t="s">
        <v>44</v>
      </c>
      <c r="C47" s="10">
        <v>2095</v>
      </c>
      <c r="D47" s="10">
        <v>2096</v>
      </c>
      <c r="E47" s="10">
        <v>2095</v>
      </c>
      <c r="F47" s="10"/>
      <c r="G47" s="10">
        <f>Таблица1[[#This Row],[Кол-во месторождений]]+Таблица1[[#This Row],[Количество ПОН КС (без месторождений)]]</f>
        <v>2095</v>
      </c>
      <c r="H47" s="6">
        <v>2463</v>
      </c>
      <c r="I47" s="6">
        <v>2463</v>
      </c>
      <c r="J47" s="6">
        <v>0</v>
      </c>
      <c r="K47" s="6">
        <f>Таблица1[[#This Row],[Количество ФИАС2]]-Таблица1[[#This Row],[Количество ФИАС]]</f>
        <v>0</v>
      </c>
      <c r="L47" s="7">
        <f>Таблица1[[#This Row],[Количество ФИАС2]]*100/Таблица1[[#This Row],[Количество ПОН КС (без месторождений)]]</f>
        <v>117.56563245823389</v>
      </c>
      <c r="M47" s="13">
        <f>Таблица1[[#This Row],[Количество ПОН КС (с месторождений)]]+Таблица1[[#This Row],[Кол-во месторождений]]</f>
        <v>2096</v>
      </c>
      <c r="N47" s="6">
        <v>2411</v>
      </c>
      <c r="O47" s="10">
        <v>12</v>
      </c>
      <c r="P47" s="10">
        <v>0</v>
      </c>
      <c r="Q47" s="10">
        <f>Таблица1[[#This Row],[Количество ПОН КС (с месторождениями)]]-Таблица1[[#This Row],[Количество линейных объектов]]</f>
        <v>2083</v>
      </c>
      <c r="R4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2083</v>
      </c>
      <c r="S47" s="6">
        <v>2463</v>
      </c>
      <c r="T47" s="6">
        <f>Таблица1[[#This Row],[Количество ФИАС на 02.08.20182]]-Таблица1[[#This Row],[Количество ФИАС2]]</f>
        <v>0</v>
      </c>
      <c r="U47" s="6">
        <v>2397</v>
      </c>
      <c r="V47" s="6">
        <v>2411</v>
      </c>
      <c r="W47" s="6">
        <f>SUM(Таблица1[[#This Row],[Количество 27.08.20182]]-Таблица1[[#This Row],[Количество ФИАС на 02.08.20182]])</f>
        <v>-52</v>
      </c>
      <c r="X47" s="6">
        <v>2411</v>
      </c>
      <c r="Y47" s="6">
        <f>Таблица1[[#This Row],[Количество 30.08.2018]]-Таблица1[[#This Row],[Количество ФИАС на 02.08.20182]]</f>
        <v>-52</v>
      </c>
      <c r="Z47" s="15">
        <f>Таблица1[[#This Row],[Количество 30.08.2018]]/Таблица1[[#This Row],[ПОН КС без линейных]]</f>
        <v>1.157465194431109</v>
      </c>
      <c r="AA47" s="15">
        <f>Таблица1[[#This Row],[Количество 30.08.2018]]/Таблица1[[#This Row],[ПОН КС без линейных и месторождений]]</f>
        <v>1.157465194431109</v>
      </c>
    </row>
    <row r="48" spans="1:27" hidden="1" x14ac:dyDescent="0.25">
      <c r="A48" s="4">
        <v>8622</v>
      </c>
      <c r="B48" s="5" t="s">
        <v>45</v>
      </c>
      <c r="C48" s="10">
        <v>1108</v>
      </c>
      <c r="D48" s="10">
        <v>1352</v>
      </c>
      <c r="E48" s="10">
        <v>1108</v>
      </c>
      <c r="F48" s="10"/>
      <c r="G48" s="10">
        <f>Таблица1[[#This Row],[Кол-во месторождений]]+Таблица1[[#This Row],[Количество ПОН КС (без месторождений)]]</f>
        <v>1108</v>
      </c>
      <c r="H48" s="6">
        <v>1105</v>
      </c>
      <c r="I48" s="6">
        <v>1108</v>
      </c>
      <c r="J48" s="6">
        <v>0</v>
      </c>
      <c r="K48" s="6">
        <f>Таблица1[[#This Row],[Количество ФИАС2]]-Таблица1[[#This Row],[Количество ФИАС]]</f>
        <v>3</v>
      </c>
      <c r="L48" s="7">
        <f>Таблица1[[#This Row],[Количество ФИАС2]]*100/Таблица1[[#This Row],[Количество ПОН КС (без месторождений)]]</f>
        <v>100</v>
      </c>
      <c r="M48" s="13">
        <f>Таблица1[[#This Row],[Количество ПОН КС (с месторождений)]]+Таблица1[[#This Row],[Кол-во месторождений]]</f>
        <v>1352</v>
      </c>
      <c r="N48" s="6">
        <v>1140</v>
      </c>
      <c r="O48" s="10">
        <v>9</v>
      </c>
      <c r="P48" s="10">
        <v>0</v>
      </c>
      <c r="Q48" s="10">
        <f>Таблица1[[#This Row],[Количество ПОН КС (с месторождениями)]]-Таблица1[[#This Row],[Количество линейных объектов]]</f>
        <v>1099</v>
      </c>
      <c r="R4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1099</v>
      </c>
      <c r="S48" s="6">
        <v>1108</v>
      </c>
      <c r="T48" s="6">
        <f>Таблица1[[#This Row],[Количество ФИАС на 02.08.20182]]-Таблица1[[#This Row],[Количество ФИАС2]]</f>
        <v>0</v>
      </c>
      <c r="U48" s="6">
        <v>1132</v>
      </c>
      <c r="V48" s="6">
        <v>1140</v>
      </c>
      <c r="W48" s="6">
        <f>SUM(Таблица1[[#This Row],[Количество 27.08.20182]]-Таблица1[[#This Row],[Количество ФИАС на 02.08.20182]])</f>
        <v>32</v>
      </c>
      <c r="X48" s="6">
        <v>1140</v>
      </c>
      <c r="Y48" s="6">
        <f>Таблица1[[#This Row],[Количество 30.08.2018]]-Таблица1[[#This Row],[Количество ФИАС на 02.08.20182]]</f>
        <v>32</v>
      </c>
      <c r="Z48" s="15">
        <f>Таблица1[[#This Row],[Количество 30.08.2018]]/Таблица1[[#This Row],[ПОН КС без линейных]]</f>
        <v>1.0373066424021837</v>
      </c>
      <c r="AA48" s="15">
        <f>Таблица1[[#This Row],[Количество 30.08.2018]]/Таблица1[[#This Row],[ПОН КС без линейных и месторождений]]</f>
        <v>1.0373066424021837</v>
      </c>
    </row>
    <row r="49" spans="1:27" hidden="1" x14ac:dyDescent="0.25">
      <c r="A49" s="4">
        <v>8622</v>
      </c>
      <c r="B49" s="5" t="s">
        <v>46</v>
      </c>
      <c r="C49" s="10">
        <v>822</v>
      </c>
      <c r="D49" s="10">
        <v>825</v>
      </c>
      <c r="E49" s="10">
        <v>822</v>
      </c>
      <c r="F49" s="10"/>
      <c r="G49" s="10">
        <f>Таблица1[[#This Row],[Кол-во месторождений]]+Таблица1[[#This Row],[Количество ПОН КС (без месторождений)]]</f>
        <v>822</v>
      </c>
      <c r="H49" s="6">
        <v>839</v>
      </c>
      <c r="I49" s="6">
        <v>841</v>
      </c>
      <c r="J49" s="6">
        <v>0</v>
      </c>
      <c r="K49" s="6">
        <f>Таблица1[[#This Row],[Количество ФИАС2]]-Таблица1[[#This Row],[Количество ФИАС]]</f>
        <v>2</v>
      </c>
      <c r="L49" s="7">
        <f>Таблица1[[#This Row],[Количество ФИАС2]]*100/Таблица1[[#This Row],[Количество ПОН КС (без месторождений)]]</f>
        <v>102.31143552311435</v>
      </c>
      <c r="M49" s="13">
        <f>Таблица1[[#This Row],[Количество ПОН КС (с месторождений)]]+Таблица1[[#This Row],[Кол-во месторождений]]</f>
        <v>825</v>
      </c>
      <c r="N49" s="6">
        <v>876</v>
      </c>
      <c r="O49" s="10">
        <v>6</v>
      </c>
      <c r="P49" s="10">
        <v>0</v>
      </c>
      <c r="Q49" s="10">
        <f>Таблица1[[#This Row],[Количество ПОН КС (с месторождениями)]]-Таблица1[[#This Row],[Количество линейных объектов]]</f>
        <v>816</v>
      </c>
      <c r="R4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816</v>
      </c>
      <c r="S49" s="6">
        <v>841</v>
      </c>
      <c r="T49" s="6">
        <f>Таблица1[[#This Row],[Количество ФИАС на 02.08.20182]]-Таблица1[[#This Row],[Количество ФИАС2]]</f>
        <v>0</v>
      </c>
      <c r="U49" s="6">
        <v>875</v>
      </c>
      <c r="V49" s="6">
        <v>876</v>
      </c>
      <c r="W49" s="6">
        <f>SUM(Таблица1[[#This Row],[Количество 27.08.20182]]-Таблица1[[#This Row],[Количество ФИАС на 02.08.20182]])</f>
        <v>35</v>
      </c>
      <c r="X49" s="6">
        <v>876</v>
      </c>
      <c r="Y49" s="6">
        <f>Таблица1[[#This Row],[Количество 30.08.2018]]-Таблица1[[#This Row],[Количество ФИАС на 02.08.20182]]</f>
        <v>35</v>
      </c>
      <c r="Z49" s="15">
        <f>Таблица1[[#This Row],[Количество 30.08.2018]]/Таблица1[[#This Row],[ПОН КС без линейных]]</f>
        <v>1.0735294117647058</v>
      </c>
      <c r="AA49" s="15">
        <f>Таблица1[[#This Row],[Количество 30.08.2018]]/Таблица1[[#This Row],[ПОН КС без линейных и месторождений]]</f>
        <v>1.0735294117647058</v>
      </c>
    </row>
    <row r="50" spans="1:27" hidden="1" x14ac:dyDescent="0.25">
      <c r="A50" s="4">
        <v>8622</v>
      </c>
      <c r="B50" s="5" t="s">
        <v>47</v>
      </c>
      <c r="C50" s="10">
        <v>1023</v>
      </c>
      <c r="D50" s="10">
        <v>1017</v>
      </c>
      <c r="E50" s="10">
        <v>1023</v>
      </c>
      <c r="F50" s="10"/>
      <c r="G50" s="10">
        <f>Таблица1[[#This Row],[Кол-во месторождений]]+Таблица1[[#This Row],[Количество ПОН КС (без месторождений)]]</f>
        <v>1023</v>
      </c>
      <c r="H50" s="6">
        <v>1193</v>
      </c>
      <c r="I50" s="6">
        <v>1193</v>
      </c>
      <c r="J50" s="6">
        <v>0</v>
      </c>
      <c r="K50" s="6">
        <f>Таблица1[[#This Row],[Количество ФИАС2]]-Таблица1[[#This Row],[Количество ФИАС]]</f>
        <v>0</v>
      </c>
      <c r="L50" s="7">
        <f>Таблица1[[#This Row],[Количество ФИАС2]]*100/Таблица1[[#This Row],[Количество ПОН КС (без месторождений)]]</f>
        <v>116.6177908113392</v>
      </c>
      <c r="M50" s="13">
        <f>Таблица1[[#This Row],[Количество ПОН КС (с месторождений)]]+Таблица1[[#This Row],[Кол-во месторождений]]</f>
        <v>1017</v>
      </c>
      <c r="N50" s="6">
        <v>1200</v>
      </c>
      <c r="O50" s="10">
        <v>5</v>
      </c>
      <c r="P50" s="10">
        <v>0</v>
      </c>
      <c r="Q50" s="10">
        <f>Таблица1[[#This Row],[Количество ПОН КС (с месторождениями)]]-Таблица1[[#This Row],[Количество линейных объектов]]</f>
        <v>1018</v>
      </c>
      <c r="R5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1018</v>
      </c>
      <c r="S50" s="6">
        <v>1194</v>
      </c>
      <c r="T50" s="6">
        <f>Таблица1[[#This Row],[Количество ФИАС на 02.08.20182]]-Таблица1[[#This Row],[Количество ФИАС2]]</f>
        <v>1</v>
      </c>
      <c r="U50" s="6">
        <v>1195</v>
      </c>
      <c r="V50" s="6">
        <v>1202</v>
      </c>
      <c r="W50" s="6">
        <f>SUM(Таблица1[[#This Row],[Количество 27.08.20182]]-Таблица1[[#This Row],[Количество ФИАС на 02.08.20182]])</f>
        <v>8</v>
      </c>
      <c r="X50" s="6">
        <v>1202</v>
      </c>
      <c r="Y50" s="6">
        <f>Таблица1[[#This Row],[Количество 30.08.2018]]-Таблица1[[#This Row],[Количество ФИАС на 02.08.20182]]</f>
        <v>8</v>
      </c>
      <c r="Z50" s="15">
        <f>Таблица1[[#This Row],[Количество 30.08.2018]]/Таблица1[[#This Row],[ПОН КС без линейных]]</f>
        <v>1.1807465618860511</v>
      </c>
      <c r="AA50" s="15">
        <f>Таблица1[[#This Row],[Количество 30.08.2018]]/Таблица1[[#This Row],[ПОН КС без линейных и месторождений]]</f>
        <v>1.1807465618860511</v>
      </c>
    </row>
    <row r="51" spans="1:27" hidden="1" x14ac:dyDescent="0.25">
      <c r="A51" s="4">
        <v>8607</v>
      </c>
      <c r="B51" s="5" t="s">
        <v>48</v>
      </c>
      <c r="C51" s="10">
        <v>14875</v>
      </c>
      <c r="D51" s="10">
        <v>14919</v>
      </c>
      <c r="E51" s="10">
        <v>14875</v>
      </c>
      <c r="F51" s="10">
        <v>46</v>
      </c>
      <c r="G51" s="10">
        <f>Таблица1[[#This Row],[Кол-во месторождений]]+Таблица1[[#This Row],[Количество ПОН КС (без месторождений)]]</f>
        <v>14921</v>
      </c>
      <c r="H51" s="6">
        <v>2477</v>
      </c>
      <c r="I51" s="6">
        <v>2491</v>
      </c>
      <c r="J51" s="6">
        <v>0</v>
      </c>
      <c r="K51" s="6">
        <f>Таблица1[[#This Row],[Количество ФИАС2]]-Таблица1[[#This Row],[Количество ФИАС]]</f>
        <v>14</v>
      </c>
      <c r="L51" s="7">
        <f>Таблица1[[#This Row],[Количество ФИАС2]]*100/Таблица1[[#This Row],[Количество ПОН КС (без месторождений)]]</f>
        <v>16.746218487394959</v>
      </c>
      <c r="M51" s="13">
        <f>Таблица1[[#This Row],[Количество ПОН КС (с месторождений)]]+Таблица1[[#This Row],[Кол-во месторождений]]</f>
        <v>14965</v>
      </c>
      <c r="N51" s="6">
        <v>3370</v>
      </c>
      <c r="O51" s="10">
        <v>178</v>
      </c>
      <c r="P51" s="10">
        <v>0</v>
      </c>
      <c r="Q51" s="10">
        <f>Таблица1[[#This Row],[Количество ПОН КС (с месторождениями)]]-Таблица1[[#This Row],[Количество линейных объектов]]</f>
        <v>14743</v>
      </c>
      <c r="R5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14697</v>
      </c>
      <c r="S51" s="6">
        <v>2621</v>
      </c>
      <c r="T51" s="6">
        <f>Таблица1[[#This Row],[Количество ФИАС на 02.08.20182]]-Таблица1[[#This Row],[Количество ФИАС2]]</f>
        <v>130</v>
      </c>
      <c r="U51" s="6">
        <v>6915</v>
      </c>
      <c r="V51" s="6">
        <v>13285</v>
      </c>
      <c r="W51" s="6">
        <f>SUM(Таблица1[[#This Row],[Количество 27.08.20182]]-Таблица1[[#This Row],[Количество ФИАС на 02.08.20182]])</f>
        <v>10664</v>
      </c>
      <c r="X51" s="6">
        <v>13361</v>
      </c>
      <c r="Y51" s="6">
        <f>Таблица1[[#This Row],[Количество 30.08.2018]]-Таблица1[[#This Row],[Количество ФИАС на 02.08.20182]]</f>
        <v>10740</v>
      </c>
      <c r="Z51" s="15">
        <f>Таблица1[[#This Row],[Количество 30.08.2018]]/Таблица1[[#This Row],[ПОН КС без линейных]]</f>
        <v>0.90626059825001692</v>
      </c>
      <c r="AA51" s="15">
        <f>Таблица1[[#This Row],[Количество 30.08.2018]]/Таблица1[[#This Row],[ПОН КС без линейных и месторождений]]</f>
        <v>0.90909709464516564</v>
      </c>
    </row>
    <row r="52" spans="1:27" hidden="1" x14ac:dyDescent="0.25">
      <c r="A52" s="4">
        <v>8607</v>
      </c>
      <c r="B52" s="5" t="s">
        <v>49</v>
      </c>
      <c r="C52" s="10">
        <v>24774</v>
      </c>
      <c r="D52" s="10">
        <v>24824</v>
      </c>
      <c r="E52" s="10">
        <v>24774</v>
      </c>
      <c r="F52" s="10">
        <v>49</v>
      </c>
      <c r="G52" s="10">
        <f>Таблица1[[#This Row],[Кол-во месторождений]]+Таблица1[[#This Row],[Количество ПОН КС (без месторождений)]]</f>
        <v>24823</v>
      </c>
      <c r="H52" s="6">
        <v>9419</v>
      </c>
      <c r="I52" s="6">
        <v>9445</v>
      </c>
      <c r="J52" s="6">
        <v>0</v>
      </c>
      <c r="K52" s="6">
        <f>Таблица1[[#This Row],[Количество ФИАС2]]-Таблица1[[#This Row],[Количество ФИАС]]</f>
        <v>26</v>
      </c>
      <c r="L52" s="7">
        <f>Таблица1[[#This Row],[Количество ФИАС2]]*100/Таблица1[[#This Row],[Количество ПОН КС (без месторождений)]]</f>
        <v>38.124646807136514</v>
      </c>
      <c r="M52" s="13">
        <f>Таблица1[[#This Row],[Количество ПОН КС (с месторождений)]]+Таблица1[[#This Row],[Кол-во месторождений]]</f>
        <v>24873</v>
      </c>
      <c r="N52" s="6">
        <v>10650</v>
      </c>
      <c r="O52" s="10">
        <v>111</v>
      </c>
      <c r="P52" s="10">
        <v>0</v>
      </c>
      <c r="Q52" s="10">
        <f>Таблица1[[#This Row],[Количество ПОН КС (с месторождениями)]]-Таблица1[[#This Row],[Количество линейных объектов]]</f>
        <v>24712</v>
      </c>
      <c r="R5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24663</v>
      </c>
      <c r="S52" s="6">
        <v>10615</v>
      </c>
      <c r="T52" s="6">
        <f>Таблица1[[#This Row],[Количество ФИАС на 02.08.20182]]-Таблица1[[#This Row],[Количество ФИАС2]]</f>
        <v>1170</v>
      </c>
      <c r="U52" s="6">
        <v>16609</v>
      </c>
      <c r="V52" s="6">
        <v>21238</v>
      </c>
      <c r="W52" s="6">
        <f>SUM(Таблица1[[#This Row],[Количество 27.08.20182]]-Таблица1[[#This Row],[Количество ФИАС на 02.08.20182]])</f>
        <v>10623</v>
      </c>
      <c r="X52" s="6">
        <v>21461</v>
      </c>
      <c r="Y52" s="6">
        <f>Таблица1[[#This Row],[Количество 30.08.2018]]-Таблица1[[#This Row],[Количество ФИАС на 02.08.20182]]</f>
        <v>10846</v>
      </c>
      <c r="Z52" s="15">
        <f>Таблица1[[#This Row],[Количество 30.08.2018]]/Таблица1[[#This Row],[ПОН КС без линейных]]</f>
        <v>0.86844448041437361</v>
      </c>
      <c r="AA52" s="15">
        <f>Таблица1[[#This Row],[Количество 30.08.2018]]/Таблица1[[#This Row],[ПОН КС без линейных и месторождений]]</f>
        <v>0.87016989011880141</v>
      </c>
    </row>
    <row r="53" spans="1:27" hidden="1" x14ac:dyDescent="0.25">
      <c r="A53" s="4">
        <v>8607</v>
      </c>
      <c r="B53" s="5" t="s">
        <v>50</v>
      </c>
      <c r="C53" s="10">
        <v>6538</v>
      </c>
      <c r="D53" s="10">
        <v>6565</v>
      </c>
      <c r="E53" s="10">
        <v>6538</v>
      </c>
      <c r="F53" s="10">
        <v>25</v>
      </c>
      <c r="G53" s="10">
        <f>Таблица1[[#This Row],[Кол-во месторождений]]+Таблица1[[#This Row],[Количество ПОН КС (без месторождений)]]</f>
        <v>6563</v>
      </c>
      <c r="H53" s="6">
        <v>1593</v>
      </c>
      <c r="I53" s="6">
        <v>1593</v>
      </c>
      <c r="J53" s="6">
        <v>0</v>
      </c>
      <c r="K53" s="6">
        <f>Таблица1[[#This Row],[Количество ФИАС2]]-Таблица1[[#This Row],[Количество ФИАС]]</f>
        <v>0</v>
      </c>
      <c r="L53" s="7">
        <f>Таблица1[[#This Row],[Количество ФИАС2]]*100/Таблица1[[#This Row],[Количество ПОН КС (без месторождений)]]</f>
        <v>24.36524931171612</v>
      </c>
      <c r="M53" s="13">
        <f>Таблица1[[#This Row],[Количество ПОН КС (с месторождений)]]+Таблица1[[#This Row],[Кол-во месторождений]]</f>
        <v>6590</v>
      </c>
      <c r="N53" s="6">
        <v>2013</v>
      </c>
      <c r="O53" s="10">
        <v>181</v>
      </c>
      <c r="P53" s="10">
        <v>0</v>
      </c>
      <c r="Q53" s="10">
        <f>Таблица1[[#This Row],[Количество ПОН КС (с месторождениями)]]-Таблица1[[#This Row],[Количество линейных объектов]]</f>
        <v>6382</v>
      </c>
      <c r="R5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6357</v>
      </c>
      <c r="S53" s="6">
        <v>4153</v>
      </c>
      <c r="T53" s="6">
        <f>Таблица1[[#This Row],[Количество ФИАС на 02.08.20182]]-Таблица1[[#This Row],[Количество ФИАС2]]</f>
        <v>2560</v>
      </c>
      <c r="U53" s="6">
        <v>4986</v>
      </c>
      <c r="V53" s="6">
        <v>5664</v>
      </c>
      <c r="W53" s="6">
        <f>SUM(Таблица1[[#This Row],[Количество 27.08.20182]]-Таблица1[[#This Row],[Количество ФИАС на 02.08.20182]])</f>
        <v>1511</v>
      </c>
      <c r="X53" s="6">
        <v>5664</v>
      </c>
      <c r="Y53" s="6">
        <f>Таблица1[[#This Row],[Количество 30.08.2018]]-Таблица1[[#This Row],[Количество ФИАС на 02.08.20182]]</f>
        <v>1511</v>
      </c>
      <c r="Z53" s="15">
        <f>Таблица1[[#This Row],[Количество 30.08.2018]]/Таблица1[[#This Row],[ПОН КС без линейных]]</f>
        <v>0.88749608273268565</v>
      </c>
      <c r="AA53" s="15">
        <f>Таблица1[[#This Row],[Количество 30.08.2018]]/Таблица1[[#This Row],[ПОН КС без линейных и месторождений]]</f>
        <v>0.89098631429919772</v>
      </c>
    </row>
    <row r="54" spans="1:27" hidden="1" x14ac:dyDescent="0.25">
      <c r="A54" s="4">
        <v>8603</v>
      </c>
      <c r="B54" s="5" t="s">
        <v>51</v>
      </c>
      <c r="C54" s="10">
        <v>111410</v>
      </c>
      <c r="D54" s="10">
        <v>113659</v>
      </c>
      <c r="E54" s="10">
        <v>111410</v>
      </c>
      <c r="F54" s="10">
        <v>101</v>
      </c>
      <c r="G54" s="10">
        <f>Таблица1[[#This Row],[Кол-во месторождений]]+Таблица1[[#This Row],[Количество ПОН КС (без месторождений)]]</f>
        <v>111511</v>
      </c>
      <c r="H54" s="6">
        <v>55415</v>
      </c>
      <c r="I54" s="6">
        <v>59004</v>
      </c>
      <c r="J54" s="6">
        <v>0</v>
      </c>
      <c r="K54" s="6">
        <f>Таблица1[[#This Row],[Количество ФИАС2]]-Таблица1[[#This Row],[Количество ФИАС]]</f>
        <v>3589</v>
      </c>
      <c r="L54" s="7">
        <f>Таблица1[[#This Row],[Количество ФИАС2]]*100/Таблица1[[#This Row],[Количество ПОН КС (без месторождений)]]</f>
        <v>52.961134548065701</v>
      </c>
      <c r="M54" s="13">
        <f>Таблица1[[#This Row],[Количество ПОН КС (с месторождений)]]+Таблица1[[#This Row],[Кол-во месторождений]]</f>
        <v>113760</v>
      </c>
      <c r="N54" s="6">
        <v>63482</v>
      </c>
      <c r="O54" s="10">
        <v>1387</v>
      </c>
      <c r="P54" s="10">
        <v>439</v>
      </c>
      <c r="Q54" s="10">
        <f>Таблица1[[#This Row],[Количество ПОН КС (с месторождениями)]]-Таблица1[[#This Row],[Количество линейных объектов]]</f>
        <v>110124</v>
      </c>
      <c r="R5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110462</v>
      </c>
      <c r="S54" s="6">
        <v>60752</v>
      </c>
      <c r="T54" s="6">
        <f>Таблица1[[#This Row],[Количество ФИАС на 02.08.20182]]-Таблица1[[#This Row],[Количество ФИАС2]]</f>
        <v>1748</v>
      </c>
      <c r="U54" s="6">
        <v>67654</v>
      </c>
      <c r="V54" s="6">
        <v>75233</v>
      </c>
      <c r="W54" s="6">
        <f>SUM(Таблица1[[#This Row],[Количество 27.08.20182]]-Таблица1[[#This Row],[Количество ФИАС на 02.08.20182]])</f>
        <v>14481</v>
      </c>
      <c r="X54" s="6">
        <v>76505</v>
      </c>
      <c r="Y54" s="6">
        <f>Таблица1[[#This Row],[Количество 30.08.2018]]-Таблица1[[#This Row],[Количество ФИАС на 02.08.20182]]</f>
        <v>15753</v>
      </c>
      <c r="Z54" s="15">
        <f>Таблица1[[#This Row],[Количество 30.08.2018]]/Таблица1[[#This Row],[ПОН КС без линейных]]</f>
        <v>0.69471686462533144</v>
      </c>
      <c r="AA54" s="15">
        <f>Таблица1[[#This Row],[Количество 30.08.2018]]/Таблица1[[#This Row],[ПОН КС без линейных и месторождений]]</f>
        <v>0.69259111730730927</v>
      </c>
    </row>
    <row r="55" spans="1:27" hidden="1" x14ac:dyDescent="0.25">
      <c r="A55" s="4">
        <v>8603</v>
      </c>
      <c r="B55" s="5" t="s">
        <v>100</v>
      </c>
      <c r="C55" s="10">
        <v>8109</v>
      </c>
      <c r="D55" s="10">
        <v>32717</v>
      </c>
      <c r="E55" s="10">
        <v>8109</v>
      </c>
      <c r="F55" s="10">
        <v>26661</v>
      </c>
      <c r="G55" s="10">
        <f>Таблица1[[#This Row],[Кол-во месторождений]]+Таблица1[[#This Row],[Количество ПОН КС (без месторождений)]]</f>
        <v>34770</v>
      </c>
      <c r="H55" s="6">
        <v>1045</v>
      </c>
      <c r="I55" s="6">
        <v>1096</v>
      </c>
      <c r="J55" s="6">
        <v>28</v>
      </c>
      <c r="K55" s="6">
        <f>Таблица1[[#This Row],[Количество ФИАС2]]-Таблица1[[#This Row],[Количество ФИАС]]</f>
        <v>51</v>
      </c>
      <c r="L55" s="7">
        <f>Таблица1[[#This Row],[Количество ФИАС2]]*100/Таблица1[[#This Row],[Количество ПОН КС (без месторождений)]]</f>
        <v>13.51584659020841</v>
      </c>
      <c r="M55" s="13">
        <f>Таблица1[[#This Row],[Количество ПОН КС (с месторождений)]]+Таблица1[[#This Row],[Кол-во месторождений]]</f>
        <v>59378</v>
      </c>
      <c r="N55" s="6">
        <v>1196</v>
      </c>
      <c r="O55" s="10">
        <v>4223</v>
      </c>
      <c r="P55" s="10">
        <v>2513</v>
      </c>
      <c r="Q55" s="10">
        <f>Таблица1[[#This Row],[Количество ПОН КС (с месторождениями)]]-Таблица1[[#This Row],[Количество линейных объектов]]</f>
        <v>30547</v>
      </c>
      <c r="R5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6399</v>
      </c>
      <c r="S55" s="6">
        <v>1096</v>
      </c>
      <c r="T55" s="6">
        <f>Таблица1[[#This Row],[Количество ФИАС на 02.08.20182]]-Таблица1[[#This Row],[Количество ФИАС2]]</f>
        <v>0</v>
      </c>
      <c r="U55" s="6">
        <v>1150</v>
      </c>
      <c r="V55" s="6">
        <v>1221</v>
      </c>
      <c r="W55" s="6">
        <f>SUM(Таблица1[[#This Row],[Количество 27.08.20182]]-Таблица1[[#This Row],[Количество ФИАС на 02.08.20182]])</f>
        <v>125</v>
      </c>
      <c r="X55" s="6">
        <v>1242</v>
      </c>
      <c r="Y55" s="6">
        <f>Таблица1[[#This Row],[Количество 30.08.2018]]-Таблица1[[#This Row],[Количество ФИАС на 02.08.20182]]</f>
        <v>146</v>
      </c>
      <c r="Z55" s="15">
        <f>Таблица1[[#This Row],[Количество 30.08.2018]]/Таблица1[[#This Row],[ПОН КС без линейных]]</f>
        <v>4.0658657151275084E-2</v>
      </c>
      <c r="AA55" s="15">
        <f>Таблица1[[#This Row],[Количество 30.08.2018]]/Таблица1[[#This Row],[ПОН КС без линейных и месторождений]]</f>
        <v>0.1940928270042194</v>
      </c>
    </row>
    <row r="56" spans="1:27" hidden="1" x14ac:dyDescent="0.25">
      <c r="A56" s="4">
        <v>8603</v>
      </c>
      <c r="B56" s="5" t="s">
        <v>52</v>
      </c>
      <c r="C56" s="10">
        <v>21079</v>
      </c>
      <c r="D56" s="10">
        <v>21127</v>
      </c>
      <c r="E56" s="10">
        <v>21079</v>
      </c>
      <c r="F56" s="10">
        <v>14</v>
      </c>
      <c r="G56" s="10">
        <f>Таблица1[[#This Row],[Кол-во месторождений]]+Таблица1[[#This Row],[Количество ПОН КС (без месторождений)]]</f>
        <v>21093</v>
      </c>
      <c r="H56" s="6">
        <v>4556</v>
      </c>
      <c r="I56" s="6">
        <v>7509</v>
      </c>
      <c r="J56" s="6">
        <v>0</v>
      </c>
      <c r="K56" s="6">
        <f>Таблица1[[#This Row],[Количество ФИАС2]]-Таблица1[[#This Row],[Количество ФИАС]]</f>
        <v>2953</v>
      </c>
      <c r="L56" s="7">
        <f>Таблица1[[#This Row],[Количество ФИАС2]]*100/Таблица1[[#This Row],[Количество ПОН КС (без месторождений)]]</f>
        <v>35.623132027136009</v>
      </c>
      <c r="M56" s="13">
        <f>Таблица1[[#This Row],[Количество ПОН КС (с месторождений)]]+Таблица1[[#This Row],[Кол-во месторождений]]</f>
        <v>21141</v>
      </c>
      <c r="N56" s="6">
        <v>8143</v>
      </c>
      <c r="O56" s="10">
        <v>413</v>
      </c>
      <c r="P56" s="10">
        <v>1</v>
      </c>
      <c r="Q56" s="10">
        <f>Таблица1[[#This Row],[Количество ПОН КС (с месторождениями)]]-Таблица1[[#This Row],[Количество линейных объектов]]</f>
        <v>20680</v>
      </c>
      <c r="R5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20667</v>
      </c>
      <c r="S56" s="6">
        <v>7701</v>
      </c>
      <c r="T56" s="6">
        <f>Таблица1[[#This Row],[Количество ФИАС на 02.08.20182]]-Таблица1[[#This Row],[Количество ФИАС2]]</f>
        <v>192</v>
      </c>
      <c r="U56" s="6">
        <v>8154</v>
      </c>
      <c r="V56" s="6">
        <v>10181</v>
      </c>
      <c r="W56" s="6">
        <f>SUM(Таблица1[[#This Row],[Количество 27.08.20182]]-Таблица1[[#This Row],[Количество ФИАС на 02.08.20182]])</f>
        <v>2480</v>
      </c>
      <c r="X56" s="6">
        <v>10821</v>
      </c>
      <c r="Y56" s="6">
        <f>Таблица1[[#This Row],[Количество 30.08.2018]]-Таблица1[[#This Row],[Количество ФИАС на 02.08.20182]]</f>
        <v>3120</v>
      </c>
      <c r="Z56" s="15">
        <f>Таблица1[[#This Row],[Количество 30.08.2018]]/Таблица1[[#This Row],[ПОН КС без линейных]]</f>
        <v>0.52325918762088974</v>
      </c>
      <c r="AA56" s="15">
        <f>Таблица1[[#This Row],[Количество 30.08.2018]]/Таблица1[[#This Row],[ПОН КС без линейных и месторождений]]</f>
        <v>0.52358832922049647</v>
      </c>
    </row>
    <row r="57" spans="1:27" hidden="1" x14ac:dyDescent="0.25">
      <c r="A57" s="4">
        <v>8603</v>
      </c>
      <c r="B57" s="5" t="s">
        <v>53</v>
      </c>
      <c r="C57" s="10">
        <v>6540</v>
      </c>
      <c r="D57" s="10">
        <v>6738</v>
      </c>
      <c r="E57" s="10">
        <v>6540</v>
      </c>
      <c r="F57" s="10"/>
      <c r="G57" s="10">
        <f>Таблица1[[#This Row],[Кол-во месторождений]]+Таблица1[[#This Row],[Количество ПОН КС (без месторождений)]]</f>
        <v>6540</v>
      </c>
      <c r="H57" s="6">
        <v>5558</v>
      </c>
      <c r="I57" s="6">
        <v>5558</v>
      </c>
      <c r="J57" s="6">
        <v>0</v>
      </c>
      <c r="K57" s="6">
        <f>Таблица1[[#This Row],[Количество ФИАС2]]-Таблица1[[#This Row],[Количество ФИАС]]</f>
        <v>0</v>
      </c>
      <c r="L57" s="7">
        <f>Таблица1[[#This Row],[Количество ФИАС2]]*100/Таблица1[[#This Row],[Количество ПОН КС (без месторождений)]]</f>
        <v>84.984709480122319</v>
      </c>
      <c r="M57" s="13">
        <f>Таблица1[[#This Row],[Количество ПОН КС (с месторождений)]]+Таблица1[[#This Row],[Кол-во месторождений]]</f>
        <v>6738</v>
      </c>
      <c r="N57" s="6">
        <v>5689</v>
      </c>
      <c r="O57" s="10">
        <v>240</v>
      </c>
      <c r="P57" s="10">
        <v>0</v>
      </c>
      <c r="Q57" s="10">
        <f>Таблица1[[#This Row],[Количество ПОН КС (с месторождениями)]]-Таблица1[[#This Row],[Количество линейных объектов]]</f>
        <v>6300</v>
      </c>
      <c r="R5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6300</v>
      </c>
      <c r="S57" s="6">
        <v>5558</v>
      </c>
      <c r="T57" s="6">
        <f>Таблица1[[#This Row],[Количество ФИАС на 02.08.20182]]-Таблица1[[#This Row],[Количество ФИАС2]]</f>
        <v>0</v>
      </c>
      <c r="U57" s="6">
        <v>5556</v>
      </c>
      <c r="V57" s="6">
        <v>5690</v>
      </c>
      <c r="W57" s="6">
        <f>SUM(Таблица1[[#This Row],[Количество 27.08.20182]]-Таблица1[[#This Row],[Количество ФИАС на 02.08.20182]])</f>
        <v>132</v>
      </c>
      <c r="X57" s="6">
        <v>5690</v>
      </c>
      <c r="Y57" s="6">
        <f>Таблица1[[#This Row],[Количество 30.08.2018]]-Таблица1[[#This Row],[Количество ФИАС на 02.08.20182]]</f>
        <v>132</v>
      </c>
      <c r="Z57" s="15">
        <f>Таблица1[[#This Row],[Количество 30.08.2018]]/Таблица1[[#This Row],[ПОН КС без линейных]]</f>
        <v>0.90317460317460319</v>
      </c>
      <c r="AA57" s="15">
        <f>Таблица1[[#This Row],[Количество 30.08.2018]]/Таблица1[[#This Row],[ПОН КС без линейных и месторождений]]</f>
        <v>0.90317460317460319</v>
      </c>
    </row>
    <row r="58" spans="1:27" hidden="1" x14ac:dyDescent="0.25">
      <c r="A58" s="4">
        <v>8603</v>
      </c>
      <c r="B58" s="5" t="s">
        <v>54</v>
      </c>
      <c r="C58" s="10">
        <v>2721</v>
      </c>
      <c r="D58" s="10">
        <v>2869</v>
      </c>
      <c r="E58" s="10">
        <v>2721</v>
      </c>
      <c r="F58" s="10"/>
      <c r="G58" s="10">
        <f>Таблица1[[#This Row],[Кол-во месторождений]]+Таблица1[[#This Row],[Количество ПОН КС (без месторождений)]]</f>
        <v>2721</v>
      </c>
      <c r="H58" s="6">
        <v>3028</v>
      </c>
      <c r="I58" s="6">
        <v>3028</v>
      </c>
      <c r="J58" s="6">
        <v>0</v>
      </c>
      <c r="K58" s="6">
        <f>Таблица1[[#This Row],[Количество ФИАС2]]-Таблица1[[#This Row],[Количество ФИАС]]</f>
        <v>0</v>
      </c>
      <c r="L58" s="7">
        <f>Таблица1[[#This Row],[Количество ФИАС2]]*100/Таблица1[[#This Row],[Количество ПОН КС (без месторождений)]]</f>
        <v>111.28261668504227</v>
      </c>
      <c r="M58" s="13">
        <f>Таблица1[[#This Row],[Количество ПОН КС (с месторождений)]]+Таблица1[[#This Row],[Кол-во месторождений]]</f>
        <v>2869</v>
      </c>
      <c r="N58" s="6">
        <v>3071</v>
      </c>
      <c r="O58" s="10">
        <v>86</v>
      </c>
      <c r="P58" s="10">
        <v>0</v>
      </c>
      <c r="Q58" s="10">
        <f>Таблица1[[#This Row],[Количество ПОН КС (с месторождениями)]]-Таблица1[[#This Row],[Количество линейных объектов]]</f>
        <v>2635</v>
      </c>
      <c r="R5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2635</v>
      </c>
      <c r="S58" s="6">
        <v>3028</v>
      </c>
      <c r="T58" s="6">
        <f>Таблица1[[#This Row],[Количество ФИАС на 02.08.20182]]-Таблица1[[#This Row],[Количество ФИАС2]]</f>
        <v>0</v>
      </c>
      <c r="U58" s="6">
        <v>3030</v>
      </c>
      <c r="V58" s="6">
        <v>3071</v>
      </c>
      <c r="W58" s="6">
        <f>SUM(Таблица1[[#This Row],[Количество 27.08.20182]]-Таблица1[[#This Row],[Количество ФИАС на 02.08.20182]])</f>
        <v>43</v>
      </c>
      <c r="X58" s="6">
        <v>3071</v>
      </c>
      <c r="Y58" s="6">
        <f>Таблица1[[#This Row],[Количество 30.08.2018]]-Таблица1[[#This Row],[Количество ФИАС на 02.08.20182]]</f>
        <v>43</v>
      </c>
      <c r="Z58" s="15">
        <f>Таблица1[[#This Row],[Количество 30.08.2018]]/Таблица1[[#This Row],[ПОН КС без линейных]]</f>
        <v>1.1654648956356737</v>
      </c>
      <c r="AA58" s="15">
        <f>Таблица1[[#This Row],[Количество 30.08.2018]]/Таблица1[[#This Row],[ПОН КС без линейных и месторождений]]</f>
        <v>1.1654648956356737</v>
      </c>
    </row>
    <row r="59" spans="1:27" hidden="1" x14ac:dyDescent="0.25">
      <c r="A59" s="4">
        <v>8603</v>
      </c>
      <c r="B59" s="5" t="s">
        <v>55</v>
      </c>
      <c r="C59" s="10">
        <v>132</v>
      </c>
      <c r="D59" s="10">
        <v>126</v>
      </c>
      <c r="E59" s="10">
        <v>132</v>
      </c>
      <c r="F59" s="10"/>
      <c r="G59" s="10">
        <f>Таблица1[[#This Row],[Кол-во месторождений]]+Таблица1[[#This Row],[Количество ПОН КС (без месторождений)]]</f>
        <v>132</v>
      </c>
      <c r="H59" s="6">
        <v>138</v>
      </c>
      <c r="I59" s="6">
        <v>138</v>
      </c>
      <c r="J59" s="6">
        <v>0</v>
      </c>
      <c r="K59" s="6">
        <f>Таблица1[[#This Row],[Количество ФИАС2]]-Таблица1[[#This Row],[Количество ФИАС]]</f>
        <v>0</v>
      </c>
      <c r="L59" s="7">
        <f>Таблица1[[#This Row],[Количество ФИАС2]]*100/Таблица1[[#This Row],[Количество ПОН КС (без месторождений)]]</f>
        <v>104.54545454545455</v>
      </c>
      <c r="M59" s="13">
        <f>Таблица1[[#This Row],[Количество ПОН КС (с месторождений)]]+Таблица1[[#This Row],[Кол-во месторождений]]</f>
        <v>126</v>
      </c>
      <c r="N59" s="6">
        <v>139</v>
      </c>
      <c r="O59" s="10">
        <v>5</v>
      </c>
      <c r="P59" s="10">
        <v>0</v>
      </c>
      <c r="Q59" s="10">
        <f>Таблица1[[#This Row],[Количество ПОН КС (с месторождениями)]]-Таблица1[[#This Row],[Количество линейных объектов]]</f>
        <v>127</v>
      </c>
      <c r="R5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127</v>
      </c>
      <c r="S59" s="6">
        <v>138</v>
      </c>
      <c r="T59" s="6">
        <f>Таблица1[[#This Row],[Количество ФИАС на 02.08.20182]]-Таблица1[[#This Row],[Количество ФИАС2]]</f>
        <v>0</v>
      </c>
      <c r="U59" s="6">
        <v>140</v>
      </c>
      <c r="V59" s="6">
        <v>140</v>
      </c>
      <c r="W59" s="6">
        <f>SUM(Таблица1[[#This Row],[Количество 27.08.20182]]-Таблица1[[#This Row],[Количество ФИАС на 02.08.20182]])</f>
        <v>2</v>
      </c>
      <c r="X59" s="6">
        <v>140</v>
      </c>
      <c r="Y59" s="6">
        <f>Таблица1[[#This Row],[Количество 30.08.2018]]-Таблица1[[#This Row],[Количество ФИАС на 02.08.20182]]</f>
        <v>2</v>
      </c>
      <c r="Z59" s="15">
        <f>Таблица1[[#This Row],[Количество 30.08.2018]]/Таблица1[[#This Row],[ПОН КС без линейных]]</f>
        <v>1.1023622047244095</v>
      </c>
      <c r="AA59" s="15">
        <f>Таблица1[[#This Row],[Количество 30.08.2018]]/Таблица1[[#This Row],[ПОН КС без линейных и месторождений]]</f>
        <v>1.1023622047244095</v>
      </c>
    </row>
    <row r="60" spans="1:27" hidden="1" x14ac:dyDescent="0.25">
      <c r="A60" s="4">
        <v>8603</v>
      </c>
      <c r="B60" s="5" t="s">
        <v>56</v>
      </c>
      <c r="C60" s="10">
        <v>268</v>
      </c>
      <c r="D60" s="10">
        <v>390</v>
      </c>
      <c r="E60" s="10">
        <v>268</v>
      </c>
      <c r="F60" s="10"/>
      <c r="G60" s="10">
        <f>Таблица1[[#This Row],[Кол-во месторождений]]+Таблица1[[#This Row],[Количество ПОН КС (без месторождений)]]</f>
        <v>268</v>
      </c>
      <c r="H60" s="6">
        <v>282</v>
      </c>
      <c r="I60" s="6">
        <v>283</v>
      </c>
      <c r="J60" s="6">
        <v>0</v>
      </c>
      <c r="K60" s="6">
        <f>Таблица1[[#This Row],[Количество ФИАС2]]-Таблица1[[#This Row],[Количество ФИАС]]</f>
        <v>1</v>
      </c>
      <c r="L60" s="7">
        <f>Таблица1[[#This Row],[Количество ФИАС2]]*100/Таблица1[[#This Row],[Количество ПОН КС (без месторождений)]]</f>
        <v>105.59701492537313</v>
      </c>
      <c r="M60" s="13">
        <f>Таблица1[[#This Row],[Количество ПОН КС (с месторождений)]]+Таблица1[[#This Row],[Кол-во месторождений]]</f>
        <v>390</v>
      </c>
      <c r="N60" s="6">
        <v>295</v>
      </c>
      <c r="O60" s="10">
        <v>2</v>
      </c>
      <c r="P60" s="10">
        <v>0</v>
      </c>
      <c r="Q60" s="10">
        <f>Таблица1[[#This Row],[Количество ПОН КС (с месторождениями)]]-Таблица1[[#This Row],[Количество линейных объектов]]</f>
        <v>266</v>
      </c>
      <c r="R6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266</v>
      </c>
      <c r="S60" s="6">
        <v>283</v>
      </c>
      <c r="T60" s="6">
        <f>Таблица1[[#This Row],[Количество ФИАС на 02.08.20182]]-Таблица1[[#This Row],[Количество ФИАС2]]</f>
        <v>0</v>
      </c>
      <c r="U60" s="6">
        <v>292</v>
      </c>
      <c r="V60" s="6">
        <v>295</v>
      </c>
      <c r="W60" s="6">
        <f>SUM(Таблица1[[#This Row],[Количество 27.08.20182]]-Таблица1[[#This Row],[Количество ФИАС на 02.08.20182]])</f>
        <v>12</v>
      </c>
      <c r="X60" s="6">
        <v>295</v>
      </c>
      <c r="Y60" s="6">
        <f>Таблица1[[#This Row],[Количество 30.08.2018]]-Таблица1[[#This Row],[Количество ФИАС на 02.08.20182]]</f>
        <v>12</v>
      </c>
      <c r="Z60" s="15">
        <f>Таблица1[[#This Row],[Количество 30.08.2018]]/Таблица1[[#This Row],[ПОН КС без линейных]]</f>
        <v>1.1090225563909775</v>
      </c>
      <c r="AA60" s="15">
        <f>Таблица1[[#This Row],[Количество 30.08.2018]]/Таблица1[[#This Row],[ПОН КС без линейных и месторождений]]</f>
        <v>1.1090225563909775</v>
      </c>
    </row>
    <row r="61" spans="1:27" hidden="1" x14ac:dyDescent="0.25">
      <c r="A61" s="4">
        <v>8603</v>
      </c>
      <c r="B61" s="5" t="s">
        <v>57</v>
      </c>
      <c r="C61" s="10">
        <v>388</v>
      </c>
      <c r="D61" s="10">
        <v>566</v>
      </c>
      <c r="E61" s="10">
        <v>388</v>
      </c>
      <c r="F61" s="10"/>
      <c r="G61" s="10">
        <f>Таблица1[[#This Row],[Кол-во месторождений]]+Таблица1[[#This Row],[Количество ПОН КС (без месторождений)]]</f>
        <v>388</v>
      </c>
      <c r="H61" s="6">
        <v>276</v>
      </c>
      <c r="I61" s="6">
        <v>276</v>
      </c>
      <c r="J61" s="6">
        <v>0</v>
      </c>
      <c r="K61" s="6">
        <f>Таблица1[[#This Row],[Количество ФИАС2]]-Таблица1[[#This Row],[Количество ФИАС]]</f>
        <v>0</v>
      </c>
      <c r="L61" s="7">
        <f>Таблица1[[#This Row],[Количество ФИАС2]]*100/Таблица1[[#This Row],[Количество ПОН КС (без месторождений)]]</f>
        <v>71.134020618556704</v>
      </c>
      <c r="M61" s="13">
        <f>Таблица1[[#This Row],[Количество ПОН КС (с месторождений)]]+Таблица1[[#This Row],[Кол-во месторождений]]</f>
        <v>566</v>
      </c>
      <c r="N61" s="6">
        <v>301</v>
      </c>
      <c r="O61" s="10">
        <v>5</v>
      </c>
      <c r="P61" s="10">
        <v>0</v>
      </c>
      <c r="Q61" s="10">
        <f>Таблица1[[#This Row],[Количество ПОН КС (с месторождениями)]]-Таблица1[[#This Row],[Количество линейных объектов]]</f>
        <v>383</v>
      </c>
      <c r="R6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383</v>
      </c>
      <c r="S61" s="6">
        <v>276</v>
      </c>
      <c r="T61" s="6">
        <f>Таблица1[[#This Row],[Количество ФИАС на 02.08.20182]]-Таблица1[[#This Row],[Количество ФИАС2]]</f>
        <v>0</v>
      </c>
      <c r="U61" s="6">
        <v>301</v>
      </c>
      <c r="V61" s="6">
        <v>301</v>
      </c>
      <c r="W61" s="6">
        <f>SUM(Таблица1[[#This Row],[Количество 27.08.20182]]-Таблица1[[#This Row],[Количество ФИАС на 02.08.20182]])</f>
        <v>25</v>
      </c>
      <c r="X61" s="6">
        <v>301</v>
      </c>
      <c r="Y61" s="6">
        <f>Таблица1[[#This Row],[Количество 30.08.2018]]-Таблица1[[#This Row],[Количество ФИАС на 02.08.20182]]</f>
        <v>25</v>
      </c>
      <c r="Z61" s="15">
        <f>Таблица1[[#This Row],[Количество 30.08.2018]]/Таблица1[[#This Row],[ПОН КС без линейных]]</f>
        <v>0.78590078328981727</v>
      </c>
      <c r="AA61" s="15">
        <f>Таблица1[[#This Row],[Количество 30.08.2018]]/Таблица1[[#This Row],[ПОН КС без линейных и месторождений]]</f>
        <v>0.78590078328981727</v>
      </c>
    </row>
    <row r="62" spans="1:27" hidden="1" x14ac:dyDescent="0.25">
      <c r="A62" s="4">
        <v>8603</v>
      </c>
      <c r="B62" s="5" t="s">
        <v>58</v>
      </c>
      <c r="C62" s="10">
        <v>575</v>
      </c>
      <c r="D62" s="10">
        <v>737</v>
      </c>
      <c r="E62" s="10">
        <v>575</v>
      </c>
      <c r="F62" s="10"/>
      <c r="G62" s="10">
        <f>Таблица1[[#This Row],[Кол-во месторождений]]+Таблица1[[#This Row],[Количество ПОН КС (без месторождений)]]</f>
        <v>575</v>
      </c>
      <c r="H62" s="6">
        <v>404</v>
      </c>
      <c r="I62" s="6">
        <v>404</v>
      </c>
      <c r="J62" s="6">
        <v>0</v>
      </c>
      <c r="K62" s="6">
        <f>Таблица1[[#This Row],[Количество ФИАС2]]-Таблица1[[#This Row],[Количество ФИАС]]</f>
        <v>0</v>
      </c>
      <c r="L62" s="7">
        <f>Таблица1[[#This Row],[Количество ФИАС2]]*100/Таблица1[[#This Row],[Количество ПОН КС (без месторождений)]]</f>
        <v>70.260869565217391</v>
      </c>
      <c r="M62" s="13">
        <f>Таблица1[[#This Row],[Количество ПОН КС (с месторождений)]]+Таблица1[[#This Row],[Кол-во месторождений]]</f>
        <v>737</v>
      </c>
      <c r="N62" s="6">
        <v>432</v>
      </c>
      <c r="O62" s="10">
        <v>24</v>
      </c>
      <c r="P62" s="10">
        <v>0</v>
      </c>
      <c r="Q62" s="10">
        <f>Таблица1[[#This Row],[Количество ПОН КС (с месторождениями)]]-Таблица1[[#This Row],[Количество линейных объектов]]</f>
        <v>551</v>
      </c>
      <c r="R6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551</v>
      </c>
      <c r="S62" s="6">
        <v>404</v>
      </c>
      <c r="T62" s="6">
        <f>Таблица1[[#This Row],[Количество ФИАС на 02.08.20182]]-Таблица1[[#This Row],[Количество ФИАС2]]</f>
        <v>0</v>
      </c>
      <c r="U62" s="6">
        <v>438</v>
      </c>
      <c r="V62" s="6">
        <v>447</v>
      </c>
      <c r="W62" s="6">
        <f>SUM(Таблица1[[#This Row],[Количество 27.08.20182]]-Таблица1[[#This Row],[Количество ФИАС на 02.08.20182]])</f>
        <v>43</v>
      </c>
      <c r="X62" s="6">
        <v>447</v>
      </c>
      <c r="Y62" s="6">
        <f>Таблица1[[#This Row],[Количество 30.08.2018]]-Таблица1[[#This Row],[Количество ФИАС на 02.08.20182]]</f>
        <v>43</v>
      </c>
      <c r="Z62" s="15">
        <f>Таблица1[[#This Row],[Количество 30.08.2018]]/Таблица1[[#This Row],[ПОН КС без линейных]]</f>
        <v>0.81125226860254085</v>
      </c>
      <c r="AA62" s="15">
        <f>Таблица1[[#This Row],[Количество 30.08.2018]]/Таблица1[[#This Row],[ПОН КС без линейных и месторождений]]</f>
        <v>0.81125226860254085</v>
      </c>
    </row>
    <row r="63" spans="1:27" hidden="1" x14ac:dyDescent="0.25">
      <c r="A63" s="4">
        <v>8603</v>
      </c>
      <c r="B63" s="5" t="s">
        <v>59</v>
      </c>
      <c r="C63" s="10">
        <v>206</v>
      </c>
      <c r="D63" s="10">
        <v>205</v>
      </c>
      <c r="E63" s="10">
        <v>206</v>
      </c>
      <c r="F63" s="10"/>
      <c r="G63" s="10">
        <f>Таблица1[[#This Row],[Кол-во месторождений]]+Таблица1[[#This Row],[Количество ПОН КС (без месторождений)]]</f>
        <v>206</v>
      </c>
      <c r="H63" s="6">
        <v>258</v>
      </c>
      <c r="I63" s="6">
        <v>258</v>
      </c>
      <c r="J63" s="6">
        <v>0</v>
      </c>
      <c r="K63" s="6">
        <f>Таблица1[[#This Row],[Количество ФИАС2]]-Таблица1[[#This Row],[Количество ФИАС]]</f>
        <v>0</v>
      </c>
      <c r="L63" s="7">
        <f>Таблица1[[#This Row],[Количество ФИАС2]]*100/Таблица1[[#This Row],[Количество ПОН КС (без месторождений)]]</f>
        <v>125.24271844660194</v>
      </c>
      <c r="M63" s="13">
        <f>Таблица1[[#This Row],[Количество ПОН КС (с месторождений)]]+Таблица1[[#This Row],[Кол-во месторождений]]</f>
        <v>205</v>
      </c>
      <c r="N63" s="6">
        <v>257</v>
      </c>
      <c r="O63" s="10">
        <v>0</v>
      </c>
      <c r="P63" s="10">
        <v>0</v>
      </c>
      <c r="Q63" s="10">
        <f>Таблица1[[#This Row],[Количество ПОН КС (с месторождениями)]]-Таблица1[[#This Row],[Количество линейных объектов]]</f>
        <v>206</v>
      </c>
      <c r="R6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206</v>
      </c>
      <c r="S63" s="6">
        <v>258</v>
      </c>
      <c r="T63" s="6">
        <f>Таблица1[[#This Row],[Количество ФИАС на 02.08.20182]]-Таблица1[[#This Row],[Количество ФИАС2]]</f>
        <v>0</v>
      </c>
      <c r="U63" s="6">
        <v>241</v>
      </c>
      <c r="V63" s="6">
        <v>257</v>
      </c>
      <c r="W63" s="6">
        <f>SUM(Таблица1[[#This Row],[Количество 27.08.20182]]-Таблица1[[#This Row],[Количество ФИАС на 02.08.20182]])</f>
        <v>-1</v>
      </c>
      <c r="X63" s="6">
        <v>257</v>
      </c>
      <c r="Y63" s="6">
        <f>Таблица1[[#This Row],[Количество 30.08.2018]]-Таблица1[[#This Row],[Количество ФИАС на 02.08.20182]]</f>
        <v>-1</v>
      </c>
      <c r="Z63" s="15">
        <f>Таблица1[[#This Row],[Количество 30.08.2018]]/Таблица1[[#This Row],[ПОН КС без линейных]]</f>
        <v>1.2475728155339805</v>
      </c>
      <c r="AA63" s="15">
        <f>Таблица1[[#This Row],[Количество 30.08.2018]]/Таблица1[[#This Row],[ПОН КС без линейных и месторождений]]</f>
        <v>1.2475728155339805</v>
      </c>
    </row>
    <row r="64" spans="1:27" hidden="1" x14ac:dyDescent="0.25">
      <c r="A64" s="4">
        <v>8603</v>
      </c>
      <c r="B64" s="5" t="s">
        <v>60</v>
      </c>
      <c r="C64" s="10">
        <v>259</v>
      </c>
      <c r="D64" s="10">
        <v>259</v>
      </c>
      <c r="E64" s="10">
        <v>259</v>
      </c>
      <c r="F64" s="10"/>
      <c r="G64" s="10">
        <f>Таблица1[[#This Row],[Кол-во месторождений]]+Таблица1[[#This Row],[Количество ПОН КС (без месторождений)]]</f>
        <v>259</v>
      </c>
      <c r="H64" s="6">
        <v>271</v>
      </c>
      <c r="I64" s="6">
        <v>271</v>
      </c>
      <c r="J64" s="6">
        <v>0</v>
      </c>
      <c r="K64" s="6">
        <f>Таблица1[[#This Row],[Количество ФИАС2]]-Таблица1[[#This Row],[Количество ФИАС]]</f>
        <v>0</v>
      </c>
      <c r="L64" s="7">
        <f>Таблица1[[#This Row],[Количество ФИАС2]]*100/Таблица1[[#This Row],[Количество ПОН КС (без месторождений)]]</f>
        <v>104.63320463320463</v>
      </c>
      <c r="M64" s="13">
        <f>Таблица1[[#This Row],[Количество ПОН КС (с месторождений)]]+Таблица1[[#This Row],[Кол-во месторождений]]</f>
        <v>259</v>
      </c>
      <c r="N64" s="6">
        <v>271</v>
      </c>
      <c r="O64" s="10">
        <v>2</v>
      </c>
      <c r="P64" s="10">
        <v>0</v>
      </c>
      <c r="Q64" s="10">
        <f>Таблица1[[#This Row],[Количество ПОН КС (с месторождениями)]]-Таблица1[[#This Row],[Количество линейных объектов]]</f>
        <v>257</v>
      </c>
      <c r="R6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257</v>
      </c>
      <c r="S64" s="6">
        <v>271</v>
      </c>
      <c r="T64" s="6">
        <f>Таблица1[[#This Row],[Количество ФИАС на 02.08.20182]]-Таблица1[[#This Row],[Количество ФИАС2]]</f>
        <v>0</v>
      </c>
      <c r="U64" s="6">
        <v>271</v>
      </c>
      <c r="V64" s="6">
        <v>271</v>
      </c>
      <c r="W64" s="6">
        <f>SUM(Таблица1[[#This Row],[Количество 27.08.20182]]-Таблица1[[#This Row],[Количество ФИАС на 02.08.20182]])</f>
        <v>0</v>
      </c>
      <c r="X64" s="6">
        <v>272</v>
      </c>
      <c r="Y64" s="6">
        <f>Таблица1[[#This Row],[Количество 30.08.2018]]-Таблица1[[#This Row],[Количество ФИАС на 02.08.20182]]</f>
        <v>1</v>
      </c>
      <c r="Z64" s="15">
        <f>Таблица1[[#This Row],[Количество 30.08.2018]]/Таблица1[[#This Row],[ПОН КС без линейных]]</f>
        <v>1.0583657587548638</v>
      </c>
      <c r="AA64" s="15">
        <f>Таблица1[[#This Row],[Количество 30.08.2018]]/Таблица1[[#This Row],[ПОН КС без линейных и месторождений]]</f>
        <v>1.0583657587548638</v>
      </c>
    </row>
    <row r="65" spans="1:27" hidden="1" x14ac:dyDescent="0.25">
      <c r="A65" s="4">
        <v>8619</v>
      </c>
      <c r="B65" s="5" t="s">
        <v>61</v>
      </c>
      <c r="C65" s="10">
        <v>46288</v>
      </c>
      <c r="D65" s="10">
        <v>46528</v>
      </c>
      <c r="E65" s="10">
        <v>46288</v>
      </c>
      <c r="F65" s="10">
        <v>109</v>
      </c>
      <c r="G65" s="10">
        <f>Таблица1[[#This Row],[Кол-во месторождений]]+Таблица1[[#This Row],[Количество ПОН КС (без месторождений)]]</f>
        <v>46397</v>
      </c>
      <c r="H65" s="6">
        <v>1942</v>
      </c>
      <c r="I65" s="6">
        <v>39955</v>
      </c>
      <c r="J65" s="6">
        <v>0</v>
      </c>
      <c r="K65" s="6">
        <f>Таблица1[[#This Row],[Количество ФИАС2]]-Таблица1[[#This Row],[Количество ФИАС]]</f>
        <v>38013</v>
      </c>
      <c r="L65" s="7">
        <f>Таблица1[[#This Row],[Количество ФИАС2]]*100/Таблица1[[#This Row],[Количество ПОН КС (без месторождений)]]</f>
        <v>86.318268233667467</v>
      </c>
      <c r="M65" s="13">
        <f>Таблица1[[#This Row],[Количество ПОН КС (с месторождений)]]+Таблица1[[#This Row],[Кол-во месторождений]]</f>
        <v>46637</v>
      </c>
      <c r="N65" s="6">
        <v>41143</v>
      </c>
      <c r="O65" s="10">
        <v>213</v>
      </c>
      <c r="P65" s="10">
        <v>213</v>
      </c>
      <c r="Q65" s="10">
        <f>Таблица1[[#This Row],[Количество ПОН КС (с месторождениями)]]-Таблица1[[#This Row],[Количество линейных объектов]]</f>
        <v>46184</v>
      </c>
      <c r="R6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46288</v>
      </c>
      <c r="S65" s="6">
        <v>39964</v>
      </c>
      <c r="T65" s="6">
        <f>Таблица1[[#This Row],[Количество ФИАС на 02.08.20182]]-Таблица1[[#This Row],[Количество ФИАС2]]</f>
        <v>9</v>
      </c>
      <c r="U65" s="6">
        <v>40126</v>
      </c>
      <c r="V65" s="6">
        <v>43481</v>
      </c>
      <c r="W65" s="6">
        <f>SUM(Таблица1[[#This Row],[Количество 27.08.20182]]-Таблица1[[#This Row],[Количество ФИАС на 02.08.20182]])</f>
        <v>3517</v>
      </c>
      <c r="X65" s="6">
        <v>43764</v>
      </c>
      <c r="Y65" s="6">
        <f>Таблица1[[#This Row],[Количество 30.08.2018]]-Таблица1[[#This Row],[Количество ФИАС на 02.08.20182]]</f>
        <v>3800</v>
      </c>
      <c r="Z65" s="15">
        <f>Таблица1[[#This Row],[Количество 30.08.2018]]/Таблица1[[#This Row],[ПОН КС без линейных]]</f>
        <v>0.94760090074484671</v>
      </c>
      <c r="AA65" s="15">
        <f>Таблица1[[#This Row],[Количество 30.08.2018]]/Таблица1[[#This Row],[ПОН КС без линейных и месторождений]]</f>
        <v>0.94547182855167644</v>
      </c>
    </row>
    <row r="66" spans="1:27" hidden="1" x14ac:dyDescent="0.25">
      <c r="A66" s="4">
        <v>8619</v>
      </c>
      <c r="B66" s="5" t="s">
        <v>102</v>
      </c>
      <c r="C66" s="10">
        <v>7280</v>
      </c>
      <c r="D66" s="10">
        <v>24474</v>
      </c>
      <c r="E66" s="10">
        <v>7280</v>
      </c>
      <c r="F66" s="10">
        <v>17873</v>
      </c>
      <c r="G66" s="10">
        <f>Таблица1[[#This Row],[Кол-во месторождений]]+Таблица1[[#This Row],[Количество ПОН КС (без месторождений)]]</f>
        <v>25153</v>
      </c>
      <c r="H66" s="6">
        <v>568</v>
      </c>
      <c r="I66" s="6">
        <v>546</v>
      </c>
      <c r="J66" s="6">
        <v>0</v>
      </c>
      <c r="K66" s="6">
        <f>Таблица1[[#This Row],[Количество ФИАС2]]-Таблица1[[#This Row],[Количество ФИАС]]</f>
        <v>-22</v>
      </c>
      <c r="L66" s="7">
        <f>Таблица1[[#This Row],[Количество ФИАС2]]*100/Таблица1[[#This Row],[Количество ПОН КС (без месторождений)]]</f>
        <v>7.5</v>
      </c>
      <c r="M66" s="13">
        <f>Таблица1[[#This Row],[Количество ПОН КС (с месторождений)]]+Таблица1[[#This Row],[Кол-во месторождений]]</f>
        <v>42347</v>
      </c>
      <c r="N66" s="6">
        <v>648</v>
      </c>
      <c r="O66" s="10">
        <v>3387</v>
      </c>
      <c r="P66" s="10">
        <v>91</v>
      </c>
      <c r="Q66" s="10">
        <f>Таблица1[[#This Row],[Количество ПОН КС (с месторождениями)]]-Таблица1[[#This Row],[Количество линейных объектов]]</f>
        <v>21766</v>
      </c>
      <c r="R6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3984</v>
      </c>
      <c r="S66" s="6">
        <v>546</v>
      </c>
      <c r="T66" s="6">
        <f>Таблица1[[#This Row],[Количество ФИАС на 02.08.20182]]-Таблица1[[#This Row],[Количество ФИАС2]]</f>
        <v>0</v>
      </c>
      <c r="U66" s="6">
        <v>543</v>
      </c>
      <c r="V66" s="6">
        <v>648</v>
      </c>
      <c r="W66" s="6">
        <f>SUM(Таблица1[[#This Row],[Количество 27.08.20182]]-Таблица1[[#This Row],[Количество ФИАС на 02.08.20182]])</f>
        <v>102</v>
      </c>
      <c r="X66" s="6">
        <v>648</v>
      </c>
      <c r="Y66" s="6">
        <f>Таблица1[[#This Row],[Количество 30.08.2018]]-Таблица1[[#This Row],[Количество ФИАС на 02.08.20182]]</f>
        <v>102</v>
      </c>
      <c r="Z66" s="15">
        <f>Таблица1[[#This Row],[Количество 30.08.2018]]/Таблица1[[#This Row],[ПОН КС без линейных]]</f>
        <v>2.9771202793347423E-2</v>
      </c>
      <c r="AA66" s="15">
        <f>Таблица1[[#This Row],[Количество 30.08.2018]]/Таблица1[[#This Row],[ПОН КС без линейных и месторождений]]</f>
        <v>0.16265060240963855</v>
      </c>
    </row>
    <row r="67" spans="1:27" hidden="1" x14ac:dyDescent="0.25">
      <c r="A67" s="4">
        <v>8619</v>
      </c>
      <c r="B67" s="5" t="s">
        <v>107</v>
      </c>
      <c r="C67" s="10">
        <v>15689</v>
      </c>
      <c r="D67" s="10">
        <v>15903</v>
      </c>
      <c r="E67" s="10">
        <v>15689</v>
      </c>
      <c r="F67" s="10">
        <v>168</v>
      </c>
      <c r="G67" s="10">
        <f>Таблица1[[#This Row],[Кол-во месторождений]]+Таблица1[[#This Row],[Количество ПОН КС (без месторождений)]]</f>
        <v>15857</v>
      </c>
      <c r="H67" s="6">
        <v>9975</v>
      </c>
      <c r="I67" s="6">
        <v>32638</v>
      </c>
      <c r="J67" s="6">
        <v>0</v>
      </c>
      <c r="K67" s="6">
        <f>Таблица1[[#This Row],[Количество ФИАС2]]-Таблица1[[#This Row],[Количество ФИАС]]</f>
        <v>22663</v>
      </c>
      <c r="L67" s="7">
        <f>Таблица1[[#This Row],[Количество ФИАС2]]*100/Таблица1[[#This Row],[Количество ПОН КС (без месторождений)]]</f>
        <v>208.03110459557652</v>
      </c>
      <c r="M67" s="13">
        <f>Таблица1[[#This Row],[Количество ПОН КС (с месторождений)]]+Таблица1[[#This Row],[Кол-во месторождений]]</f>
        <v>16071</v>
      </c>
      <c r="N67" s="6">
        <v>29256</v>
      </c>
      <c r="O67" s="10">
        <v>307</v>
      </c>
      <c r="P67" s="10">
        <v>4</v>
      </c>
      <c r="Q67" s="10">
        <f>Таблица1[[#This Row],[Количество ПОН КС (с месторождениями)]]-Таблица1[[#This Row],[Количество линейных объектов]]</f>
        <v>15550</v>
      </c>
      <c r="R6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15386</v>
      </c>
      <c r="S67" s="6">
        <v>32723</v>
      </c>
      <c r="T67" s="6">
        <f>Таблица1[[#This Row],[Количество ФИАС на 02.08.20182]]-Таблица1[[#This Row],[Количество ФИАС2]]</f>
        <v>85</v>
      </c>
      <c r="U67" s="6">
        <v>35255</v>
      </c>
      <c r="V67" s="6">
        <v>30521</v>
      </c>
      <c r="W67" s="6">
        <f>SUM(Таблица1[[#This Row],[Количество 27.08.20182]]-Таблица1[[#This Row],[Количество ФИАС на 02.08.20182]])</f>
        <v>-2202</v>
      </c>
      <c r="X67" s="6">
        <v>31342</v>
      </c>
      <c r="Y67" s="6">
        <f>Таблица1[[#This Row],[Количество 30.08.2018]]-Таблица1[[#This Row],[Количество ФИАС на 02.08.20182]]</f>
        <v>-1381</v>
      </c>
      <c r="Z67" s="15">
        <f>Таблица1[[#This Row],[Количество 30.08.2018]]/Таблица1[[#This Row],[ПОН КС без линейных]]</f>
        <v>2.0155627009646304</v>
      </c>
      <c r="AA67" s="15">
        <f>Таблица1[[#This Row],[Количество 30.08.2018]]/Таблица1[[#This Row],[ПОН КС без линейных и месторождений]]</f>
        <v>2.0370466658000779</v>
      </c>
    </row>
    <row r="68" spans="1:27" hidden="1" x14ac:dyDescent="0.25">
      <c r="A68" s="4">
        <v>8619</v>
      </c>
      <c r="B68" s="5" t="s">
        <v>62</v>
      </c>
      <c r="C68" s="10">
        <v>1329</v>
      </c>
      <c r="D68" s="10">
        <v>1582</v>
      </c>
      <c r="E68" s="10">
        <v>1329</v>
      </c>
      <c r="F68" s="10"/>
      <c r="G68" s="10">
        <f>Таблица1[[#This Row],[Кол-во месторождений]]+Таблица1[[#This Row],[Количество ПОН КС (без месторождений)]]</f>
        <v>1329</v>
      </c>
      <c r="H68" s="6">
        <v>947</v>
      </c>
      <c r="I68" s="6">
        <v>891</v>
      </c>
      <c r="J68" s="6">
        <v>0</v>
      </c>
      <c r="K68" s="6">
        <f>Таблица1[[#This Row],[Количество ФИАС2]]-Таблица1[[#This Row],[Количество ФИАС]]</f>
        <v>-56</v>
      </c>
      <c r="L68" s="7">
        <f>Таблица1[[#This Row],[Количество ФИАС2]]*100/Таблица1[[#This Row],[Количество ПОН КС (без месторождений)]]</f>
        <v>67.042889390519193</v>
      </c>
      <c r="M68" s="13">
        <f>Таблица1[[#This Row],[Количество ПОН КС (с месторождений)]]+Таблица1[[#This Row],[Кол-во месторождений]]</f>
        <v>1582</v>
      </c>
      <c r="N68" s="6">
        <v>955</v>
      </c>
      <c r="O68" s="10">
        <v>18</v>
      </c>
      <c r="P68" s="10">
        <v>0</v>
      </c>
      <c r="Q68" s="10">
        <f>Таблица1[[#This Row],[Количество ПОН КС (с месторождениями)]]-Таблица1[[#This Row],[Количество линейных объектов]]</f>
        <v>1311</v>
      </c>
      <c r="R6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1311</v>
      </c>
      <c r="S68" s="6">
        <v>891</v>
      </c>
      <c r="T68" s="6">
        <f>Таблица1[[#This Row],[Количество ФИАС на 02.08.20182]]-Таблица1[[#This Row],[Количество ФИАС2]]</f>
        <v>0</v>
      </c>
      <c r="U68" s="6">
        <v>875</v>
      </c>
      <c r="V68" s="6">
        <v>955</v>
      </c>
      <c r="W68" s="6">
        <f>SUM(Таблица1[[#This Row],[Количество 27.08.20182]]-Таблица1[[#This Row],[Количество ФИАС на 02.08.20182]])</f>
        <v>64</v>
      </c>
      <c r="X68" s="6">
        <v>955</v>
      </c>
      <c r="Y68" s="6">
        <f>Таблица1[[#This Row],[Количество 30.08.2018]]-Таблица1[[#This Row],[Количество ФИАС на 02.08.20182]]</f>
        <v>64</v>
      </c>
      <c r="Z68" s="15">
        <f>Таблица1[[#This Row],[Количество 30.08.2018]]/Таблица1[[#This Row],[ПОН КС без линейных]]</f>
        <v>0.72845156369183828</v>
      </c>
      <c r="AA68" s="15">
        <f>Таблица1[[#This Row],[Количество 30.08.2018]]/Таблица1[[#This Row],[ПОН КС без линейных и месторождений]]</f>
        <v>0.72845156369183828</v>
      </c>
    </row>
    <row r="69" spans="1:27" hidden="1" x14ac:dyDescent="0.25">
      <c r="A69" s="4">
        <v>8619</v>
      </c>
      <c r="B69" s="5" t="s">
        <v>63</v>
      </c>
      <c r="C69" s="10">
        <v>6343</v>
      </c>
      <c r="D69" s="10">
        <v>6347</v>
      </c>
      <c r="E69" s="10">
        <v>6343</v>
      </c>
      <c r="F69" s="10"/>
      <c r="G69" s="10">
        <f>Таблица1[[#This Row],[Кол-во месторождений]]+Таблица1[[#This Row],[Количество ПОН КС (без месторождений)]]</f>
        <v>6343</v>
      </c>
      <c r="H69" s="6">
        <v>613</v>
      </c>
      <c r="I69" s="6">
        <v>7496</v>
      </c>
      <c r="J69" s="6">
        <v>0</v>
      </c>
      <c r="K69" s="6">
        <f>Таблица1[[#This Row],[Количество ФИАС2]]-Таблица1[[#This Row],[Количество ФИАС]]</f>
        <v>6883</v>
      </c>
      <c r="L69" s="7">
        <f>Таблица1[[#This Row],[Количество ФИАС2]]*100/Таблица1[[#This Row],[Количество ПОН КС (без месторождений)]]</f>
        <v>118.17751852435757</v>
      </c>
      <c r="M69" s="13">
        <f>Таблица1[[#This Row],[Количество ПОН КС (с месторождений)]]+Таблица1[[#This Row],[Кол-во месторождений]]</f>
        <v>6347</v>
      </c>
      <c r="N69" s="6">
        <v>7501</v>
      </c>
      <c r="O69" s="10">
        <v>65</v>
      </c>
      <c r="P69" s="10">
        <v>0</v>
      </c>
      <c r="Q69" s="10">
        <f>Таблица1[[#This Row],[Количество ПОН КС (с месторождениями)]]-Таблица1[[#This Row],[Количество линейных объектов]]</f>
        <v>6278</v>
      </c>
      <c r="R6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6278</v>
      </c>
      <c r="S69" s="6">
        <v>7500</v>
      </c>
      <c r="T69" s="6">
        <f>Таблица1[[#This Row],[Количество ФИАС на 02.08.20182]]-Таблица1[[#This Row],[Количество ФИАС2]]</f>
        <v>4</v>
      </c>
      <c r="U69" s="6">
        <v>7331</v>
      </c>
      <c r="V69" s="6">
        <v>7532</v>
      </c>
      <c r="W69" s="6">
        <f>SUM(Таблица1[[#This Row],[Количество 27.08.20182]]-Таблица1[[#This Row],[Количество ФИАС на 02.08.20182]])</f>
        <v>32</v>
      </c>
      <c r="X69" s="6">
        <v>7532</v>
      </c>
      <c r="Y69" s="6">
        <f>Таблица1[[#This Row],[Количество 30.08.2018]]-Таблица1[[#This Row],[Количество ФИАС на 02.08.20182]]</f>
        <v>32</v>
      </c>
      <c r="Z69" s="15">
        <f>Таблица1[[#This Row],[Количество 30.08.2018]]/Таблица1[[#This Row],[ПОН КС без линейных]]</f>
        <v>1.1997451417648932</v>
      </c>
      <c r="AA69" s="15">
        <f>Таблица1[[#This Row],[Количество 30.08.2018]]/Таблица1[[#This Row],[ПОН КС без линейных и месторождений]]</f>
        <v>1.1997451417648932</v>
      </c>
    </row>
    <row r="70" spans="1:27" hidden="1" x14ac:dyDescent="0.25">
      <c r="A70" s="4">
        <v>8619</v>
      </c>
      <c r="B70" s="5" t="s">
        <v>64</v>
      </c>
      <c r="C70" s="10">
        <v>589</v>
      </c>
      <c r="D70" s="10">
        <v>606</v>
      </c>
      <c r="E70" s="10">
        <v>589</v>
      </c>
      <c r="F70" s="10"/>
      <c r="G70" s="10">
        <f>Таблица1[[#This Row],[Кол-во месторождений]]+Таблица1[[#This Row],[Количество ПОН КС (без месторождений)]]</f>
        <v>589</v>
      </c>
      <c r="H70" s="6">
        <v>373</v>
      </c>
      <c r="I70" s="6">
        <v>387</v>
      </c>
      <c r="J70" s="6">
        <v>0</v>
      </c>
      <c r="K70" s="6">
        <f>Таблица1[[#This Row],[Количество ФИАС2]]-Таблица1[[#This Row],[Количество ФИАС]]</f>
        <v>14</v>
      </c>
      <c r="L70" s="7">
        <f>Таблица1[[#This Row],[Количество ФИАС2]]*100/Таблица1[[#This Row],[Количество ПОН КС (без месторождений)]]</f>
        <v>65.704584040747022</v>
      </c>
      <c r="M70" s="13">
        <f>Таблица1[[#This Row],[Количество ПОН КС (с месторождений)]]+Таблица1[[#This Row],[Кол-во месторождений]]</f>
        <v>606</v>
      </c>
      <c r="N70" s="6">
        <v>390</v>
      </c>
      <c r="O70" s="10">
        <v>25</v>
      </c>
      <c r="P70" s="10">
        <v>0</v>
      </c>
      <c r="Q70" s="10">
        <f>Таблица1[[#This Row],[Количество ПОН КС (с месторождениями)]]-Таблица1[[#This Row],[Количество линейных объектов]]</f>
        <v>564</v>
      </c>
      <c r="R7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564</v>
      </c>
      <c r="S70" s="6">
        <v>756</v>
      </c>
      <c r="T70" s="6">
        <f>Таблица1[[#This Row],[Количество ФИАС на 02.08.20182]]-Таблица1[[#This Row],[Количество ФИАС2]]</f>
        <v>369</v>
      </c>
      <c r="U70" s="6">
        <v>726</v>
      </c>
      <c r="V70" s="6">
        <v>745</v>
      </c>
      <c r="W70" s="6">
        <f>SUM(Таблица1[[#This Row],[Количество 27.08.20182]]-Таблица1[[#This Row],[Количество ФИАС на 02.08.20182]])</f>
        <v>-11</v>
      </c>
      <c r="X70" s="6">
        <v>745</v>
      </c>
      <c r="Y70" s="6">
        <f>Таблица1[[#This Row],[Количество 30.08.2018]]-Таблица1[[#This Row],[Количество ФИАС на 02.08.20182]]</f>
        <v>-11</v>
      </c>
      <c r="Z70" s="15">
        <f>Таблица1[[#This Row],[Количество 30.08.2018]]/Таблица1[[#This Row],[ПОН КС без линейных]]</f>
        <v>1.3209219858156029</v>
      </c>
      <c r="AA70" s="15">
        <f>Таблица1[[#This Row],[Количество 30.08.2018]]/Таблица1[[#This Row],[ПОН КС без линейных и месторождений]]</f>
        <v>1.3209219858156029</v>
      </c>
    </row>
    <row r="71" spans="1:27" hidden="1" x14ac:dyDescent="0.25">
      <c r="A71" s="4">
        <v>8619</v>
      </c>
      <c r="B71" s="5" t="s">
        <v>65</v>
      </c>
      <c r="C71" s="10">
        <v>133</v>
      </c>
      <c r="D71" s="10">
        <v>133</v>
      </c>
      <c r="E71" s="10">
        <v>133</v>
      </c>
      <c r="F71" s="10"/>
      <c r="G71" s="10">
        <f>Таблица1[[#This Row],[Кол-во месторождений]]+Таблица1[[#This Row],[Количество ПОН КС (без месторождений)]]</f>
        <v>133</v>
      </c>
      <c r="H71" s="6">
        <v>204</v>
      </c>
      <c r="I71" s="6">
        <v>200</v>
      </c>
      <c r="J71" s="6">
        <v>0</v>
      </c>
      <c r="K71" s="6">
        <f>Таблица1[[#This Row],[Количество ФИАС2]]-Таблица1[[#This Row],[Количество ФИАС]]</f>
        <v>-4</v>
      </c>
      <c r="L71" s="7">
        <f>Таблица1[[#This Row],[Количество ФИАС2]]*100/Таблица1[[#This Row],[Количество ПОН КС (без месторождений)]]</f>
        <v>150.37593984962405</v>
      </c>
      <c r="M71" s="13">
        <f>Таблица1[[#This Row],[Количество ПОН КС (с месторождений)]]+Таблица1[[#This Row],[Кол-во месторождений]]</f>
        <v>133</v>
      </c>
      <c r="N71" s="6">
        <v>180</v>
      </c>
      <c r="O71" s="10">
        <v>10</v>
      </c>
      <c r="P71" s="10">
        <v>0</v>
      </c>
      <c r="Q71" s="10">
        <f>Таблица1[[#This Row],[Количество ПОН КС (с месторождениями)]]-Таблица1[[#This Row],[Количество линейных объектов]]</f>
        <v>123</v>
      </c>
      <c r="R7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123</v>
      </c>
      <c r="S71" s="6">
        <v>200</v>
      </c>
      <c r="T71" s="6">
        <f>Таблица1[[#This Row],[Количество ФИАС на 02.08.20182]]-Таблица1[[#This Row],[Количество ФИАС2]]</f>
        <v>0</v>
      </c>
      <c r="U71" s="6">
        <v>173</v>
      </c>
      <c r="V71" s="6">
        <v>180</v>
      </c>
      <c r="W71" s="6">
        <f>SUM(Таблица1[[#This Row],[Количество 27.08.20182]]-Таблица1[[#This Row],[Количество ФИАС на 02.08.20182]])</f>
        <v>-20</v>
      </c>
      <c r="X71" s="6">
        <v>180</v>
      </c>
      <c r="Y71" s="6">
        <f>Таблица1[[#This Row],[Количество 30.08.2018]]-Таблица1[[#This Row],[Количество ФИАС на 02.08.20182]]</f>
        <v>-20</v>
      </c>
      <c r="Z71" s="15">
        <f>Таблица1[[#This Row],[Количество 30.08.2018]]/Таблица1[[#This Row],[ПОН КС без линейных]]</f>
        <v>1.4634146341463414</v>
      </c>
      <c r="AA71" s="15">
        <f>Таблица1[[#This Row],[Количество 30.08.2018]]/Таблица1[[#This Row],[ПОН КС без линейных и месторождений]]</f>
        <v>1.4634146341463414</v>
      </c>
    </row>
    <row r="72" spans="1:27" hidden="1" x14ac:dyDescent="0.25">
      <c r="A72" s="4">
        <v>8619</v>
      </c>
      <c r="B72" s="5" t="s">
        <v>66</v>
      </c>
      <c r="C72" s="10">
        <v>1966</v>
      </c>
      <c r="D72" s="10">
        <v>2094</v>
      </c>
      <c r="E72" s="10">
        <v>1966</v>
      </c>
      <c r="F72" s="10"/>
      <c r="G72" s="10">
        <f>Таблица1[[#This Row],[Кол-во месторождений]]+Таблица1[[#This Row],[Количество ПОН КС (без месторождений)]]</f>
        <v>1966</v>
      </c>
      <c r="H72" s="6">
        <v>1717</v>
      </c>
      <c r="I72" s="6">
        <v>1670</v>
      </c>
      <c r="J72" s="6">
        <v>0</v>
      </c>
      <c r="K72" s="6">
        <f>Таблица1[[#This Row],[Количество ФИАС2]]-Таблица1[[#This Row],[Количество ФИАС]]</f>
        <v>-47</v>
      </c>
      <c r="L72" s="7">
        <f>Таблица1[[#This Row],[Количество ФИАС2]]*100/Таблица1[[#This Row],[Количество ПОН КС (без месторождений)]]</f>
        <v>84.944048830111896</v>
      </c>
      <c r="M72" s="13">
        <f>Таблица1[[#This Row],[Количество ПОН КС (с месторождений)]]+Таблица1[[#This Row],[Кол-во месторождений]]</f>
        <v>2094</v>
      </c>
      <c r="N72" s="6">
        <v>1852</v>
      </c>
      <c r="O72" s="10">
        <v>64</v>
      </c>
      <c r="P72" s="10">
        <v>0</v>
      </c>
      <c r="Q72" s="10">
        <f>Таблица1[[#This Row],[Количество ПОН КС (с месторождениями)]]-Таблица1[[#This Row],[Количество линейных объектов]]</f>
        <v>1902</v>
      </c>
      <c r="R7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1902</v>
      </c>
      <c r="S72" s="6">
        <v>1671</v>
      </c>
      <c r="T72" s="6">
        <f>Таблица1[[#This Row],[Количество ФИАС на 02.08.20182]]-Таблица1[[#This Row],[Количество ФИАС2]]</f>
        <v>1</v>
      </c>
      <c r="U72" s="6">
        <v>1660</v>
      </c>
      <c r="V72" s="6">
        <v>1853</v>
      </c>
      <c r="W72" s="6">
        <f>SUM(Таблица1[[#This Row],[Количество 27.08.20182]]-Таблица1[[#This Row],[Количество ФИАС на 02.08.20182]])</f>
        <v>182</v>
      </c>
      <c r="X72" s="6">
        <v>1853</v>
      </c>
      <c r="Y72" s="6">
        <f>Таблица1[[#This Row],[Количество 30.08.2018]]-Таблица1[[#This Row],[Количество ФИАС на 02.08.20182]]</f>
        <v>182</v>
      </c>
      <c r="Z72" s="15">
        <f>Таблица1[[#This Row],[Количество 30.08.2018]]/Таблица1[[#This Row],[ПОН КС без линейных]]</f>
        <v>0.97423764458464779</v>
      </c>
      <c r="AA72" s="15">
        <f>Таблица1[[#This Row],[Количество 30.08.2018]]/Таблица1[[#This Row],[ПОН КС без линейных и месторождений]]</f>
        <v>0.97423764458464779</v>
      </c>
    </row>
    <row r="73" spans="1:27" hidden="1" x14ac:dyDescent="0.25">
      <c r="A73" s="4">
        <v>8619</v>
      </c>
      <c r="B73" s="5" t="s">
        <v>67</v>
      </c>
      <c r="C73" s="10">
        <v>255</v>
      </c>
      <c r="D73" s="10">
        <v>462</v>
      </c>
      <c r="E73" s="10">
        <v>255</v>
      </c>
      <c r="F73" s="10"/>
      <c r="G73" s="10">
        <f>Таблица1[[#This Row],[Кол-во месторождений]]+Таблица1[[#This Row],[Количество ПОН КС (без месторождений)]]</f>
        <v>255</v>
      </c>
      <c r="H73" s="6">
        <v>156</v>
      </c>
      <c r="I73" s="6">
        <v>147</v>
      </c>
      <c r="J73" s="6">
        <v>0</v>
      </c>
      <c r="K73" s="6">
        <f>Таблица1[[#This Row],[Количество ФИАС2]]-Таблица1[[#This Row],[Количество ФИАС]]</f>
        <v>-9</v>
      </c>
      <c r="L73" s="7">
        <f>Таблица1[[#This Row],[Количество ФИАС2]]*100/Таблица1[[#This Row],[Количество ПОН КС (без месторождений)]]</f>
        <v>57.647058823529413</v>
      </c>
      <c r="M73" s="13">
        <f>Таблица1[[#This Row],[Количество ПОН КС (с месторождений)]]+Таблица1[[#This Row],[Кол-во месторождений]]</f>
        <v>462</v>
      </c>
      <c r="N73" s="6">
        <v>178</v>
      </c>
      <c r="O73" s="10">
        <v>19</v>
      </c>
      <c r="P73" s="10">
        <v>0</v>
      </c>
      <c r="Q73" s="10">
        <f>Таблица1[[#This Row],[Количество ПОН КС (с месторождениями)]]-Таблица1[[#This Row],[Количество линейных объектов]]</f>
        <v>236</v>
      </c>
      <c r="R7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236</v>
      </c>
      <c r="S73" s="6">
        <v>147</v>
      </c>
      <c r="T73" s="6">
        <f>Таблица1[[#This Row],[Количество ФИАС на 02.08.20182]]-Таблица1[[#This Row],[Количество ФИАС2]]</f>
        <v>0</v>
      </c>
      <c r="U73" s="6">
        <v>147</v>
      </c>
      <c r="V73" s="6">
        <v>178</v>
      </c>
      <c r="W73" s="6">
        <f>SUM(Таблица1[[#This Row],[Количество 27.08.20182]]-Таблица1[[#This Row],[Количество ФИАС на 02.08.20182]])</f>
        <v>31</v>
      </c>
      <c r="X73" s="6">
        <v>178</v>
      </c>
      <c r="Y73" s="6">
        <f>Таблица1[[#This Row],[Количество 30.08.2018]]-Таблица1[[#This Row],[Количество ФИАС на 02.08.20182]]</f>
        <v>31</v>
      </c>
      <c r="Z73" s="15">
        <f>Таблица1[[#This Row],[Количество 30.08.2018]]/Таблица1[[#This Row],[ПОН КС без линейных]]</f>
        <v>0.75423728813559321</v>
      </c>
      <c r="AA73" s="15">
        <f>Таблица1[[#This Row],[Количество 30.08.2018]]/Таблица1[[#This Row],[ПОН КС без линейных и месторождений]]</f>
        <v>0.75423728813559321</v>
      </c>
    </row>
    <row r="74" spans="1:27" hidden="1" x14ac:dyDescent="0.25">
      <c r="A74" s="4">
        <v>8619</v>
      </c>
      <c r="B74" s="5" t="s">
        <v>68</v>
      </c>
      <c r="C74" s="10">
        <v>558</v>
      </c>
      <c r="D74" s="10">
        <v>565</v>
      </c>
      <c r="E74" s="10">
        <v>558</v>
      </c>
      <c r="F74" s="10"/>
      <c r="G74" s="10">
        <f>Таблица1[[#This Row],[Кол-во месторождений]]+Таблица1[[#This Row],[Количество ПОН КС (без месторождений)]]</f>
        <v>558</v>
      </c>
      <c r="H74" s="6">
        <v>10</v>
      </c>
      <c r="I74" s="6">
        <v>67</v>
      </c>
      <c r="J74" s="6">
        <v>0</v>
      </c>
      <c r="K74" s="6">
        <f>Таблица1[[#This Row],[Количество ФИАС2]]-Таблица1[[#This Row],[Количество ФИАС]]</f>
        <v>57</v>
      </c>
      <c r="L74" s="7">
        <f>Таблица1[[#This Row],[Количество ФИАС2]]*100/Таблица1[[#This Row],[Количество ПОН КС (без месторождений)]]</f>
        <v>12.007168458781361</v>
      </c>
      <c r="M74" s="13">
        <f>Таблица1[[#This Row],[Количество ПОН КС (с месторождений)]]+Таблица1[[#This Row],[Кол-во месторождений]]</f>
        <v>565</v>
      </c>
      <c r="N74" s="6">
        <v>71</v>
      </c>
      <c r="O74" s="10">
        <v>27</v>
      </c>
      <c r="P74" s="10">
        <v>0</v>
      </c>
      <c r="Q74" s="10">
        <f>Таблица1[[#This Row],[Количество ПОН КС (с месторождениями)]]-Таблица1[[#This Row],[Количество линейных объектов]]</f>
        <v>531</v>
      </c>
      <c r="R7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531</v>
      </c>
      <c r="S74" s="6">
        <v>68</v>
      </c>
      <c r="T74" s="6">
        <f>Таблица1[[#This Row],[Количество ФИАС на 02.08.20182]]-Таблица1[[#This Row],[Количество ФИАС2]]</f>
        <v>1</v>
      </c>
      <c r="U74" s="6">
        <v>64</v>
      </c>
      <c r="V74" s="6">
        <v>72</v>
      </c>
      <c r="W74" s="6">
        <f>SUM(Таблица1[[#This Row],[Количество 27.08.20182]]-Таблица1[[#This Row],[Количество ФИАС на 02.08.20182]])</f>
        <v>4</v>
      </c>
      <c r="X74" s="6">
        <v>72</v>
      </c>
      <c r="Y74" s="6">
        <f>Таблица1[[#This Row],[Количество 30.08.2018]]-Таблица1[[#This Row],[Количество ФИАС на 02.08.20182]]</f>
        <v>4</v>
      </c>
      <c r="Z74" s="15">
        <f>Таблица1[[#This Row],[Количество 30.08.2018]]/Таблица1[[#This Row],[ПОН КС без линейных]]</f>
        <v>0.13559322033898305</v>
      </c>
      <c r="AA74" s="15">
        <f>Таблица1[[#This Row],[Количество 30.08.2018]]/Таблица1[[#This Row],[ПОН КС без линейных и месторождений]]</f>
        <v>0.13559322033898305</v>
      </c>
    </row>
    <row r="75" spans="1:27" hidden="1" x14ac:dyDescent="0.25">
      <c r="A75" s="4">
        <v>8619</v>
      </c>
      <c r="B75" s="5" t="s">
        <v>69</v>
      </c>
      <c r="C75" s="10">
        <v>639</v>
      </c>
      <c r="D75" s="10">
        <v>642</v>
      </c>
      <c r="E75" s="10">
        <v>639</v>
      </c>
      <c r="F75" s="10"/>
      <c r="G75" s="10">
        <f>Таблица1[[#This Row],[Кол-во месторождений]]+Таблица1[[#This Row],[Количество ПОН КС (без месторождений)]]</f>
        <v>639</v>
      </c>
      <c r="H75" s="6">
        <v>610</v>
      </c>
      <c r="I75" s="6">
        <v>603</v>
      </c>
      <c r="J75" s="6">
        <v>0</v>
      </c>
      <c r="K75" s="6">
        <f>Таблица1[[#This Row],[Количество ФИАС2]]-Таблица1[[#This Row],[Количество ФИАС]]</f>
        <v>-7</v>
      </c>
      <c r="L75" s="7">
        <f>Таблица1[[#This Row],[Количество ФИАС2]]*100/Таблица1[[#This Row],[Количество ПОН КС (без месторождений)]]</f>
        <v>94.366197183098592</v>
      </c>
      <c r="M75" s="13">
        <f>Таблица1[[#This Row],[Количество ПОН КС (с месторождений)]]+Таблица1[[#This Row],[Кол-во месторождений]]</f>
        <v>642</v>
      </c>
      <c r="N75" s="6">
        <v>637</v>
      </c>
      <c r="O75" s="10">
        <v>8</v>
      </c>
      <c r="P75" s="10">
        <v>0</v>
      </c>
      <c r="Q75" s="10">
        <f>Таблица1[[#This Row],[Количество ПОН КС (с месторождениями)]]-Таблица1[[#This Row],[Количество линейных объектов]]</f>
        <v>631</v>
      </c>
      <c r="R7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631</v>
      </c>
      <c r="S75" s="6">
        <v>604</v>
      </c>
      <c r="T75" s="6">
        <f>Таблица1[[#This Row],[Количество ФИАС на 02.08.20182]]-Таблица1[[#This Row],[Количество ФИАС2]]</f>
        <v>1</v>
      </c>
      <c r="U75" s="6">
        <v>596</v>
      </c>
      <c r="V75" s="6">
        <v>637</v>
      </c>
      <c r="W75" s="6">
        <f>SUM(Таблица1[[#This Row],[Количество 27.08.20182]]-Таблица1[[#This Row],[Количество ФИАС на 02.08.20182]])</f>
        <v>33</v>
      </c>
      <c r="X75" s="6">
        <v>637</v>
      </c>
      <c r="Y75" s="6">
        <f>Таблица1[[#This Row],[Количество 30.08.2018]]-Таблица1[[#This Row],[Количество ФИАС на 02.08.20182]]</f>
        <v>33</v>
      </c>
      <c r="Z75" s="15">
        <f>Таблица1[[#This Row],[Количество 30.08.2018]]/Таблица1[[#This Row],[ПОН КС без линейных]]</f>
        <v>1.0095087163232963</v>
      </c>
      <c r="AA75" s="15">
        <f>Таблица1[[#This Row],[Количество 30.08.2018]]/Таблица1[[#This Row],[ПОН КС без линейных и месторождений]]</f>
        <v>1.0095087163232963</v>
      </c>
    </row>
    <row r="76" spans="1:27" hidden="1" x14ac:dyDescent="0.25">
      <c r="A76" s="4">
        <v>8611</v>
      </c>
      <c r="B76" s="5" t="s">
        <v>70</v>
      </c>
      <c r="C76" s="10">
        <v>940</v>
      </c>
      <c r="D76" s="10">
        <v>939</v>
      </c>
      <c r="E76" s="10">
        <v>940</v>
      </c>
      <c r="F76" s="10"/>
      <c r="G76" s="10">
        <f>Таблица1[[#This Row],[Кол-во месторождений]]+Таблица1[[#This Row],[Количество ПОН КС (без месторождений)]]</f>
        <v>940</v>
      </c>
      <c r="H76" s="6">
        <v>546</v>
      </c>
      <c r="I76" s="6">
        <v>533</v>
      </c>
      <c r="J76" s="6">
        <v>0</v>
      </c>
      <c r="K76" s="6">
        <f>Таблица1[[#This Row],[Количество ФИАС2]]-Таблица1[[#This Row],[Количество ФИАС]]</f>
        <v>-13</v>
      </c>
      <c r="L76" s="7">
        <f>Таблица1[[#This Row],[Количество ФИАС2]]*100/Таблица1[[#This Row],[Количество ПОН КС (без месторождений)]]</f>
        <v>56.702127659574465</v>
      </c>
      <c r="M76" s="13">
        <f>Таблица1[[#This Row],[Количество ПОН КС (с месторождений)]]+Таблица1[[#This Row],[Кол-во месторождений]]</f>
        <v>939</v>
      </c>
      <c r="N76" s="6">
        <v>559</v>
      </c>
      <c r="O76" s="10">
        <v>89</v>
      </c>
      <c r="P76" s="10">
        <v>0</v>
      </c>
      <c r="Q76" s="10">
        <f>Таблица1[[#This Row],[Количество ПОН КС (с месторождениями)]]-Таблица1[[#This Row],[Количество линейных объектов]]</f>
        <v>851</v>
      </c>
      <c r="R7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851</v>
      </c>
      <c r="S76" s="6">
        <v>554</v>
      </c>
      <c r="T76" s="6">
        <f>Таблица1[[#This Row],[Количество ФИАС на 02.08.20182]]-Таблица1[[#This Row],[Количество ФИАС2]]</f>
        <v>21</v>
      </c>
      <c r="U76" s="6">
        <v>693</v>
      </c>
      <c r="V76" s="6">
        <v>803</v>
      </c>
      <c r="W76" s="6">
        <f>SUM(Таблица1[[#This Row],[Количество 27.08.20182]]-Таблица1[[#This Row],[Количество ФИАС на 02.08.20182]])</f>
        <v>249</v>
      </c>
      <c r="X76" s="6">
        <v>831</v>
      </c>
      <c r="Y76" s="6">
        <f>Таблица1[[#This Row],[Количество 30.08.2018]]-Таблица1[[#This Row],[Количество ФИАС на 02.08.20182]]</f>
        <v>277</v>
      </c>
      <c r="Z76" s="15">
        <f>Таблица1[[#This Row],[Количество 30.08.2018]]/Таблица1[[#This Row],[ПОН КС без линейных]]</f>
        <v>0.97649823736780261</v>
      </c>
      <c r="AA76" s="15">
        <f>Таблица1[[#This Row],[Количество 30.08.2018]]/Таблица1[[#This Row],[ПОН КС без линейных и месторождений]]</f>
        <v>0.97649823736780261</v>
      </c>
    </row>
    <row r="77" spans="1:27" hidden="1" x14ac:dyDescent="0.25">
      <c r="A77" s="4">
        <v>8611</v>
      </c>
      <c r="B77" s="5" t="s">
        <v>71</v>
      </c>
      <c r="C77" s="10">
        <v>394</v>
      </c>
      <c r="D77" s="10">
        <v>431</v>
      </c>
      <c r="E77" s="10">
        <v>394</v>
      </c>
      <c r="F77" s="10"/>
      <c r="G77" s="10">
        <f>Таблица1[[#This Row],[Кол-во месторождений]]+Таблица1[[#This Row],[Количество ПОН КС (без месторождений)]]</f>
        <v>394</v>
      </c>
      <c r="H77" s="6">
        <v>306</v>
      </c>
      <c r="I77" s="6">
        <v>304</v>
      </c>
      <c r="J77" s="6">
        <v>0</v>
      </c>
      <c r="K77" s="6">
        <f>Таблица1[[#This Row],[Количество ФИАС2]]-Таблица1[[#This Row],[Количество ФИАС]]</f>
        <v>-2</v>
      </c>
      <c r="L77" s="7">
        <f>Таблица1[[#This Row],[Количество ФИАС2]]*100/Таблица1[[#This Row],[Количество ПОН КС (без месторождений)]]</f>
        <v>77.157360406091371</v>
      </c>
      <c r="M77" s="13">
        <f>Таблица1[[#This Row],[Количество ПОН КС (с месторождений)]]+Таблица1[[#This Row],[Кол-во месторождений]]</f>
        <v>431</v>
      </c>
      <c r="N77" s="6">
        <v>306</v>
      </c>
      <c r="O77" s="10">
        <v>1</v>
      </c>
      <c r="P77" s="10">
        <v>0</v>
      </c>
      <c r="Q77" s="10">
        <f>Таблица1[[#This Row],[Количество ПОН КС (с месторождениями)]]-Таблица1[[#This Row],[Количество линейных объектов]]</f>
        <v>393</v>
      </c>
      <c r="R7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393</v>
      </c>
      <c r="S77" s="6">
        <v>304</v>
      </c>
      <c r="T77" s="6">
        <f>Таблица1[[#This Row],[Количество ФИАС на 02.08.20182]]-Таблица1[[#This Row],[Количество ФИАС2]]</f>
        <v>0</v>
      </c>
      <c r="U77" s="6">
        <v>304</v>
      </c>
      <c r="V77" s="6">
        <v>307</v>
      </c>
      <c r="W77" s="6">
        <f>SUM(Таблица1[[#This Row],[Количество 27.08.20182]]-Таблица1[[#This Row],[Количество ФИАС на 02.08.20182]])</f>
        <v>3</v>
      </c>
      <c r="X77" s="6">
        <v>308</v>
      </c>
      <c r="Y77" s="6">
        <f>Таблица1[[#This Row],[Количество 30.08.2018]]-Таблица1[[#This Row],[Количество ФИАС на 02.08.20182]]</f>
        <v>4</v>
      </c>
      <c r="Z77" s="15">
        <f>Таблица1[[#This Row],[Количество 30.08.2018]]/Таблица1[[#This Row],[ПОН КС без линейных]]</f>
        <v>0.78371501272264632</v>
      </c>
      <c r="AA77" s="15">
        <f>Таблица1[[#This Row],[Количество 30.08.2018]]/Таблица1[[#This Row],[ПОН КС без линейных и месторождений]]</f>
        <v>0.78371501272264632</v>
      </c>
    </row>
    <row r="78" spans="1:27" hidden="1" x14ac:dyDescent="0.25">
      <c r="A78" s="4">
        <v>8611</v>
      </c>
      <c r="B78" s="5" t="s">
        <v>72</v>
      </c>
      <c r="C78" s="10">
        <v>853</v>
      </c>
      <c r="D78" s="10">
        <v>865</v>
      </c>
      <c r="E78" s="10">
        <v>853</v>
      </c>
      <c r="F78" s="10"/>
      <c r="G78" s="10">
        <f>Таблица1[[#This Row],[Кол-во месторождений]]+Таблица1[[#This Row],[Количество ПОН КС (без месторождений)]]</f>
        <v>853</v>
      </c>
      <c r="H78" s="6">
        <v>492</v>
      </c>
      <c r="I78" s="6">
        <v>567</v>
      </c>
      <c r="J78" s="6">
        <v>0</v>
      </c>
      <c r="K78" s="6">
        <f>Таблица1[[#This Row],[Количество ФИАС2]]-Таблица1[[#This Row],[Количество ФИАС]]</f>
        <v>75</v>
      </c>
      <c r="L78" s="7">
        <f>Таблица1[[#This Row],[Количество ФИАС2]]*100/Таблица1[[#This Row],[Количество ПОН КС (без месторождений)]]</f>
        <v>66.471277842907384</v>
      </c>
      <c r="M78" s="13">
        <f>Таблица1[[#This Row],[Количество ПОН КС (с месторождений)]]+Таблица1[[#This Row],[Кол-во месторождений]]</f>
        <v>865</v>
      </c>
      <c r="N78" s="6">
        <v>608</v>
      </c>
      <c r="O78" s="10">
        <v>113</v>
      </c>
      <c r="P78" s="10">
        <v>0</v>
      </c>
      <c r="Q78" s="10">
        <f>Таблица1[[#This Row],[Количество ПОН КС (с месторождениями)]]-Таблица1[[#This Row],[Количество линейных объектов]]</f>
        <v>740</v>
      </c>
      <c r="R7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740</v>
      </c>
      <c r="S78" s="6">
        <v>567</v>
      </c>
      <c r="T78" s="6">
        <f>Таблица1[[#This Row],[Количество ФИАС на 02.08.20182]]-Таблица1[[#This Row],[Количество ФИАС2]]</f>
        <v>0</v>
      </c>
      <c r="U78" s="6">
        <v>460</v>
      </c>
      <c r="V78" s="6">
        <v>609</v>
      </c>
      <c r="W78" s="6">
        <f>SUM(Таблица1[[#This Row],[Количество 27.08.20182]]-Таблица1[[#This Row],[Количество ФИАС на 02.08.20182]])</f>
        <v>42</v>
      </c>
      <c r="X78" s="6">
        <v>609</v>
      </c>
      <c r="Y78" s="6">
        <f>Таблица1[[#This Row],[Количество 30.08.2018]]-Таблица1[[#This Row],[Количество ФИАС на 02.08.20182]]</f>
        <v>42</v>
      </c>
      <c r="Z78" s="15">
        <f>Таблица1[[#This Row],[Количество 30.08.2018]]/Таблица1[[#This Row],[ПОН КС без линейных]]</f>
        <v>0.822972972972973</v>
      </c>
      <c r="AA78" s="15">
        <f>Таблица1[[#This Row],[Количество 30.08.2018]]/Таблица1[[#This Row],[ПОН КС без линейных и месторождений]]</f>
        <v>0.822972972972973</v>
      </c>
    </row>
    <row r="79" spans="1:27" hidden="1" x14ac:dyDescent="0.25">
      <c r="A79" s="4">
        <v>8611</v>
      </c>
      <c r="B79" s="5" t="s">
        <v>73</v>
      </c>
      <c r="C79" s="10">
        <v>428</v>
      </c>
      <c r="D79" s="10">
        <v>507</v>
      </c>
      <c r="E79" s="10">
        <v>428</v>
      </c>
      <c r="F79" s="10"/>
      <c r="G79" s="10">
        <f>Таблица1[[#This Row],[Кол-во месторождений]]+Таблица1[[#This Row],[Количество ПОН КС (без месторождений)]]</f>
        <v>428</v>
      </c>
      <c r="H79" s="6">
        <v>576</v>
      </c>
      <c r="I79" s="6">
        <v>576</v>
      </c>
      <c r="J79" s="6">
        <v>0</v>
      </c>
      <c r="K79" s="6">
        <f>Таблица1[[#This Row],[Количество ФИАС2]]-Таблица1[[#This Row],[Количество ФИАС]]</f>
        <v>0</v>
      </c>
      <c r="L79" s="7">
        <f>Таблица1[[#This Row],[Количество ФИАС2]]*100/Таблица1[[#This Row],[Количество ПОН КС (без месторождений)]]</f>
        <v>134.57943925233644</v>
      </c>
      <c r="M79" s="13">
        <f>Таблица1[[#This Row],[Количество ПОН КС (с месторождений)]]+Таблица1[[#This Row],[Кол-во месторождений]]</f>
        <v>507</v>
      </c>
      <c r="N79" s="6">
        <v>544</v>
      </c>
      <c r="O79" s="10">
        <v>1</v>
      </c>
      <c r="P79" s="10">
        <v>0</v>
      </c>
      <c r="Q79" s="10">
        <f>Таблица1[[#This Row],[Количество ПОН КС (с месторождениями)]]-Таблица1[[#This Row],[Количество линейных объектов]]</f>
        <v>427</v>
      </c>
      <c r="R7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427</v>
      </c>
      <c r="S79" s="6">
        <v>576</v>
      </c>
      <c r="T79" s="6">
        <f>Таблица1[[#This Row],[Количество ФИАС на 02.08.20182]]-Таблица1[[#This Row],[Количество ФИАС2]]</f>
        <v>0</v>
      </c>
      <c r="U79" s="6">
        <v>539</v>
      </c>
      <c r="V79" s="6">
        <v>544</v>
      </c>
      <c r="W79" s="6">
        <f>SUM(Таблица1[[#This Row],[Количество 27.08.20182]]-Таблица1[[#This Row],[Количество ФИАС на 02.08.20182]])</f>
        <v>-32</v>
      </c>
      <c r="X79" s="6">
        <v>544</v>
      </c>
      <c r="Y79" s="6">
        <f>Таблица1[[#This Row],[Количество 30.08.2018]]-Таблица1[[#This Row],[Количество ФИАС на 02.08.20182]]</f>
        <v>-32</v>
      </c>
      <c r="Z79" s="15">
        <f>Таблица1[[#This Row],[Количество 30.08.2018]]/Таблица1[[#This Row],[ПОН КС без линейных]]</f>
        <v>1.2740046838407495</v>
      </c>
      <c r="AA79" s="15">
        <f>Таблица1[[#This Row],[Количество 30.08.2018]]/Таблица1[[#This Row],[ПОН КС без линейных и месторождений]]</f>
        <v>1.2740046838407495</v>
      </c>
    </row>
    <row r="80" spans="1:27" hidden="1" x14ac:dyDescent="0.25">
      <c r="A80" s="4">
        <v>8611</v>
      </c>
      <c r="B80" s="5" t="s">
        <v>74</v>
      </c>
      <c r="C80" s="10">
        <v>704</v>
      </c>
      <c r="D80" s="10">
        <v>705</v>
      </c>
      <c r="E80" s="10">
        <v>704</v>
      </c>
      <c r="F80" s="10"/>
      <c r="G80" s="10">
        <f>Таблица1[[#This Row],[Кол-во месторождений]]+Таблица1[[#This Row],[Количество ПОН КС (без месторождений)]]</f>
        <v>704</v>
      </c>
      <c r="H80" s="6">
        <v>662</v>
      </c>
      <c r="I80" s="6">
        <v>662</v>
      </c>
      <c r="J80" s="6">
        <v>0</v>
      </c>
      <c r="K80" s="6">
        <f>Таблица1[[#This Row],[Количество ФИАС2]]-Таблица1[[#This Row],[Количество ФИАС]]</f>
        <v>0</v>
      </c>
      <c r="L80" s="7">
        <f>Таблица1[[#This Row],[Количество ФИАС2]]*100/Таблица1[[#This Row],[Количество ПОН КС (без месторождений)]]</f>
        <v>94.034090909090907</v>
      </c>
      <c r="M80" s="13">
        <f>Таблица1[[#This Row],[Количество ПОН КС (с месторождений)]]+Таблица1[[#This Row],[Кол-во месторождений]]</f>
        <v>705</v>
      </c>
      <c r="N80" s="6">
        <v>744</v>
      </c>
      <c r="O80" s="10">
        <v>63</v>
      </c>
      <c r="P80" s="10">
        <v>0</v>
      </c>
      <c r="Q80" s="10">
        <f>Таблица1[[#This Row],[Количество ПОН КС (с месторождениями)]]-Таблица1[[#This Row],[Количество линейных объектов]]</f>
        <v>641</v>
      </c>
      <c r="R8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641</v>
      </c>
      <c r="S80" s="6">
        <v>662</v>
      </c>
      <c r="T80" s="6">
        <f>Таблица1[[#This Row],[Количество ФИАС на 02.08.20182]]-Таблица1[[#This Row],[Количество ФИАС2]]</f>
        <v>0</v>
      </c>
      <c r="U80" s="6">
        <v>660</v>
      </c>
      <c r="V80" s="6">
        <v>744</v>
      </c>
      <c r="W80" s="6">
        <f>SUM(Таблица1[[#This Row],[Количество 27.08.20182]]-Таблица1[[#This Row],[Количество ФИАС на 02.08.20182]])</f>
        <v>82</v>
      </c>
      <c r="X80" s="6">
        <v>744</v>
      </c>
      <c r="Y80" s="6">
        <f>Таблица1[[#This Row],[Количество 30.08.2018]]-Таблица1[[#This Row],[Количество ФИАС на 02.08.20182]]</f>
        <v>82</v>
      </c>
      <c r="Z80" s="15">
        <f>Таблица1[[#This Row],[Количество 30.08.2018]]/Таблица1[[#This Row],[ПОН КС без линейных]]</f>
        <v>1.1606864274570983</v>
      </c>
      <c r="AA80" s="15">
        <f>Таблица1[[#This Row],[Количество 30.08.2018]]/Таблица1[[#This Row],[ПОН КС без линейных и месторождений]]</f>
        <v>1.1606864274570983</v>
      </c>
    </row>
    <row r="81" spans="1:27" hidden="1" x14ac:dyDescent="0.25">
      <c r="A81" s="4">
        <v>8611</v>
      </c>
      <c r="B81" s="5" t="s">
        <v>75</v>
      </c>
      <c r="C81" s="10">
        <v>795</v>
      </c>
      <c r="D81" s="10">
        <v>796</v>
      </c>
      <c r="E81" s="10">
        <v>795</v>
      </c>
      <c r="F81" s="10"/>
      <c r="G81" s="10">
        <f>Таблица1[[#This Row],[Кол-во месторождений]]+Таблица1[[#This Row],[Количество ПОН КС (без месторождений)]]</f>
        <v>795</v>
      </c>
      <c r="H81" s="6">
        <v>777</v>
      </c>
      <c r="I81" s="6">
        <v>777</v>
      </c>
      <c r="J81" s="6">
        <v>0</v>
      </c>
      <c r="K81" s="6">
        <f>Таблица1[[#This Row],[Количество ФИАС2]]-Таблица1[[#This Row],[Количество ФИАС]]</f>
        <v>0</v>
      </c>
      <c r="L81" s="7">
        <f>Таблица1[[#This Row],[Количество ФИАС2]]*100/Таблица1[[#This Row],[Количество ПОН КС (без месторождений)]]</f>
        <v>97.735849056603769</v>
      </c>
      <c r="M81" s="13">
        <f>Таблица1[[#This Row],[Количество ПОН КС (с месторождений)]]+Таблица1[[#This Row],[Кол-во месторождений]]</f>
        <v>796</v>
      </c>
      <c r="N81" s="6">
        <v>844</v>
      </c>
      <c r="O81" s="10">
        <v>57</v>
      </c>
      <c r="P81" s="10">
        <v>0</v>
      </c>
      <c r="Q81" s="10">
        <f>Таблица1[[#This Row],[Количество ПОН КС (с месторождениями)]]-Таблица1[[#This Row],[Количество линейных объектов]]</f>
        <v>738</v>
      </c>
      <c r="R8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738</v>
      </c>
      <c r="S81" s="6">
        <v>778</v>
      </c>
      <c r="T81" s="6">
        <f>Таблица1[[#This Row],[Количество ФИАС на 02.08.20182]]-Таблица1[[#This Row],[Количество ФИАС2]]</f>
        <v>1</v>
      </c>
      <c r="U81" s="6">
        <v>753</v>
      </c>
      <c r="V81" s="6">
        <v>845</v>
      </c>
      <c r="W81" s="6">
        <f>SUM(Таблица1[[#This Row],[Количество 27.08.20182]]-Таблица1[[#This Row],[Количество ФИАС на 02.08.20182]])</f>
        <v>67</v>
      </c>
      <c r="X81" s="6">
        <v>845</v>
      </c>
      <c r="Y81" s="6">
        <f>Таблица1[[#This Row],[Количество 30.08.2018]]-Таблица1[[#This Row],[Количество ФИАС на 02.08.20182]]</f>
        <v>67</v>
      </c>
      <c r="Z81" s="15">
        <f>Таблица1[[#This Row],[Количество 30.08.2018]]/Таблица1[[#This Row],[ПОН КС без линейных]]</f>
        <v>1.1449864498644986</v>
      </c>
      <c r="AA81" s="15">
        <f>Таблица1[[#This Row],[Количество 30.08.2018]]/Таблица1[[#This Row],[ПОН КС без линейных и месторождений]]</f>
        <v>1.1449864498644986</v>
      </c>
    </row>
    <row r="82" spans="1:27" hidden="1" x14ac:dyDescent="0.25">
      <c r="A82" s="4">
        <v>8611</v>
      </c>
      <c r="B82" s="5" t="s">
        <v>76</v>
      </c>
      <c r="C82" s="10">
        <v>11274</v>
      </c>
      <c r="D82" s="10">
        <v>11361</v>
      </c>
      <c r="E82" s="10">
        <v>11274</v>
      </c>
      <c r="F82" s="10">
        <v>80</v>
      </c>
      <c r="G82" s="10">
        <f>Таблица1[[#This Row],[Кол-во месторождений]]+Таблица1[[#This Row],[Количество ПОН КС (без месторождений)]]</f>
        <v>11354</v>
      </c>
      <c r="H82" s="6">
        <v>8198</v>
      </c>
      <c r="I82" s="6">
        <v>8119</v>
      </c>
      <c r="J82" s="6">
        <v>0</v>
      </c>
      <c r="K82" s="6">
        <f>Таблица1[[#This Row],[Количество ФИАС2]]-Таблица1[[#This Row],[Количество ФИАС]]</f>
        <v>-79</v>
      </c>
      <c r="L82" s="7">
        <f>Таблица1[[#This Row],[Количество ФИАС2]]*100/Таблица1[[#This Row],[Количество ПОН КС (без месторождений)]]</f>
        <v>72.015256342025907</v>
      </c>
      <c r="M82" s="13">
        <f>Таблица1[[#This Row],[Количество ПОН КС (с месторождений)]]+Таблица1[[#This Row],[Кол-во месторождений]]</f>
        <v>11441</v>
      </c>
      <c r="N82" s="6">
        <v>9892</v>
      </c>
      <c r="O82" s="10">
        <v>101</v>
      </c>
      <c r="P82" s="10">
        <v>0</v>
      </c>
      <c r="Q82" s="10">
        <f>Таблица1[[#This Row],[Количество ПОН КС (с месторождениями)]]-Таблица1[[#This Row],[Количество линейных объектов]]</f>
        <v>11253</v>
      </c>
      <c r="R8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11173</v>
      </c>
      <c r="S82" s="6">
        <v>8121</v>
      </c>
      <c r="T82" s="6">
        <f>Таблица1[[#This Row],[Количество ФИАС на 02.08.20182]]-Таблица1[[#This Row],[Количество ФИАС2]]</f>
        <v>2</v>
      </c>
      <c r="U82" s="6">
        <v>8226</v>
      </c>
      <c r="V82" s="6">
        <v>10020</v>
      </c>
      <c r="W82" s="6">
        <f>SUM(Таблица1[[#This Row],[Количество 27.08.20182]]-Таблица1[[#This Row],[Количество ФИАС на 02.08.20182]])</f>
        <v>1899</v>
      </c>
      <c r="X82" s="6">
        <v>10020</v>
      </c>
      <c r="Y82" s="6">
        <f>Таблица1[[#This Row],[Количество 30.08.2018]]-Таблица1[[#This Row],[Количество ФИАС на 02.08.20182]]</f>
        <v>1899</v>
      </c>
      <c r="Z82" s="15">
        <f>Таблица1[[#This Row],[Количество 30.08.2018]]/Таблица1[[#This Row],[ПОН КС без линейных]]</f>
        <v>0.89042921887496662</v>
      </c>
      <c r="AA82" s="15">
        <f>Таблица1[[#This Row],[Количество 30.08.2018]]/Таблица1[[#This Row],[ПОН КС без линейных и месторождений]]</f>
        <v>0.89680479727915507</v>
      </c>
    </row>
    <row r="83" spans="1:27" hidden="1" x14ac:dyDescent="0.25">
      <c r="A83" s="4">
        <v>8611</v>
      </c>
      <c r="B83" s="5" t="s">
        <v>103</v>
      </c>
      <c r="C83" s="10">
        <v>538</v>
      </c>
      <c r="D83" s="10">
        <v>584</v>
      </c>
      <c r="E83" s="10">
        <v>538</v>
      </c>
      <c r="F83" s="10">
        <v>155</v>
      </c>
      <c r="G83" s="10">
        <f>Таблица1[[#This Row],[Кол-во месторождений]]+Таблица1[[#This Row],[Количество ПОН КС (без месторождений)]]</f>
        <v>693</v>
      </c>
      <c r="H83" s="6">
        <v>166</v>
      </c>
      <c r="I83" s="6">
        <v>274</v>
      </c>
      <c r="J83" s="6">
        <v>0</v>
      </c>
      <c r="K83" s="6">
        <f>Таблица1[[#This Row],[Количество ФИАС2]]-Таблица1[[#This Row],[Количество ФИАС]]</f>
        <v>108</v>
      </c>
      <c r="L83" s="7">
        <f>Таблица1[[#This Row],[Количество ФИАС2]]*100/Таблица1[[#This Row],[Количество ПОН КС (без месторождений)]]</f>
        <v>50.929368029739777</v>
      </c>
      <c r="M83" s="13">
        <f>Таблица1[[#This Row],[Количество ПОН КС (с месторождений)]]+Таблица1[[#This Row],[Кол-во месторождений]]</f>
        <v>739</v>
      </c>
      <c r="N83" s="6">
        <v>364</v>
      </c>
      <c r="O83" s="10">
        <v>129</v>
      </c>
      <c r="P83" s="10">
        <v>54</v>
      </c>
      <c r="Q83" s="10">
        <f>Таблица1[[#This Row],[Количество ПОН КС (с месторождениями)]]-Таблица1[[#This Row],[Количество линейных объектов]]</f>
        <v>564</v>
      </c>
      <c r="R8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463</v>
      </c>
      <c r="S83" s="6">
        <v>346</v>
      </c>
      <c r="T83" s="6">
        <f>Таблица1[[#This Row],[Количество ФИАС на 02.08.20182]]-Таблица1[[#This Row],[Количество ФИАС2]]</f>
        <v>72</v>
      </c>
      <c r="U83" s="6">
        <v>346</v>
      </c>
      <c r="V83" s="6">
        <v>364</v>
      </c>
      <c r="W83" s="6">
        <f>SUM(Таблица1[[#This Row],[Количество 27.08.20182]]-Таблица1[[#This Row],[Количество ФИАС на 02.08.20182]])</f>
        <v>18</v>
      </c>
      <c r="X83" s="6">
        <v>364</v>
      </c>
      <c r="Y83" s="6">
        <f>Таблица1[[#This Row],[Количество 30.08.2018]]-Таблица1[[#This Row],[Количество ФИАС на 02.08.20182]]</f>
        <v>18</v>
      </c>
      <c r="Z83" s="15">
        <f>Таблица1[[#This Row],[Количество 30.08.2018]]/Таблица1[[#This Row],[ПОН КС без линейных]]</f>
        <v>0.64539007092198586</v>
      </c>
      <c r="AA83" s="15">
        <f>Таблица1[[#This Row],[Количество 30.08.2018]]/Таблица1[[#This Row],[ПОН КС без линейных и месторождений]]</f>
        <v>0.78617710583153344</v>
      </c>
    </row>
    <row r="84" spans="1:27" hidden="1" x14ac:dyDescent="0.25">
      <c r="A84" s="4">
        <v>8611</v>
      </c>
      <c r="B84" s="5" t="s">
        <v>77</v>
      </c>
      <c r="C84" s="10">
        <v>3789</v>
      </c>
      <c r="D84" s="10">
        <v>3886</v>
      </c>
      <c r="E84" s="10">
        <v>3789</v>
      </c>
      <c r="F84" s="10"/>
      <c r="G84" s="10">
        <f>Таблица1[[#This Row],[Кол-во месторождений]]+Таблица1[[#This Row],[Количество ПОН КС (без месторождений)]]</f>
        <v>3789</v>
      </c>
      <c r="H84" s="6">
        <v>5166</v>
      </c>
      <c r="I84" s="6">
        <v>5166</v>
      </c>
      <c r="J84" s="6">
        <v>0</v>
      </c>
      <c r="K84" s="6">
        <f>Таблица1[[#This Row],[Количество ФИАС2]]-Таблица1[[#This Row],[Количество ФИАС]]</f>
        <v>0</v>
      </c>
      <c r="L84" s="7">
        <f>Таблица1[[#This Row],[Количество ФИАС2]]*100/Таблица1[[#This Row],[Количество ПОН КС (без месторождений)]]</f>
        <v>136.34204275534441</v>
      </c>
      <c r="M84" s="13">
        <f>Таблица1[[#This Row],[Количество ПОН КС (с месторождений)]]+Таблица1[[#This Row],[Кол-во месторождений]]</f>
        <v>3886</v>
      </c>
      <c r="N84" s="6">
        <v>5136</v>
      </c>
      <c r="O84" s="10">
        <v>27</v>
      </c>
      <c r="P84" s="10">
        <v>0</v>
      </c>
      <c r="Q84" s="10">
        <f>Таблица1[[#This Row],[Количество ПОН КС (с месторождениями)]]-Таблица1[[#This Row],[Количество линейных объектов]]</f>
        <v>3762</v>
      </c>
      <c r="R8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3762</v>
      </c>
      <c r="S84" s="6">
        <v>5166</v>
      </c>
      <c r="T84" s="6">
        <f>Таблица1[[#This Row],[Количество ФИАС на 02.08.20182]]-Таблица1[[#This Row],[Количество ФИАС2]]</f>
        <v>0</v>
      </c>
      <c r="U84" s="6">
        <v>5133</v>
      </c>
      <c r="V84" s="6">
        <v>5136</v>
      </c>
      <c r="W84" s="6">
        <f>SUM(Таблица1[[#This Row],[Количество 27.08.20182]]-Таблица1[[#This Row],[Количество ФИАС на 02.08.20182]])</f>
        <v>-30</v>
      </c>
      <c r="X84" s="6">
        <v>5136</v>
      </c>
      <c r="Y84" s="6">
        <f>Таблица1[[#This Row],[Количество 30.08.2018]]-Таблица1[[#This Row],[Количество ФИАС на 02.08.20182]]</f>
        <v>-30</v>
      </c>
      <c r="Z84" s="15">
        <f>Таблица1[[#This Row],[Количество 30.08.2018]]/Таблица1[[#This Row],[ПОН КС без линейных]]</f>
        <v>1.365231259968102</v>
      </c>
      <c r="AA84" s="15">
        <f>Таблица1[[#This Row],[Количество 30.08.2018]]/Таблица1[[#This Row],[ПОН КС без линейных и месторождений]]</f>
        <v>1.365231259968102</v>
      </c>
    </row>
    <row r="85" spans="1:27" hidden="1" x14ac:dyDescent="0.25">
      <c r="A85" s="4">
        <v>8611</v>
      </c>
      <c r="B85" s="5" t="s">
        <v>78</v>
      </c>
      <c r="C85" s="10">
        <v>425</v>
      </c>
      <c r="D85" s="10">
        <v>425</v>
      </c>
      <c r="E85" s="10">
        <v>425</v>
      </c>
      <c r="F85" s="10"/>
      <c r="G85" s="10">
        <f>Таблица1[[#This Row],[Кол-во месторождений]]+Таблица1[[#This Row],[Количество ПОН КС (без месторождений)]]</f>
        <v>425</v>
      </c>
      <c r="H85" s="6">
        <v>539</v>
      </c>
      <c r="I85" s="6">
        <v>539</v>
      </c>
      <c r="J85" s="6">
        <v>0</v>
      </c>
      <c r="K85" s="6">
        <f>Таблица1[[#This Row],[Количество ФИАС2]]-Таблица1[[#This Row],[Количество ФИАС]]</f>
        <v>0</v>
      </c>
      <c r="L85" s="7">
        <f>Таблица1[[#This Row],[Количество ФИАС2]]*100/Таблица1[[#This Row],[Количество ПОН КС (без месторождений)]]</f>
        <v>126.82352941176471</v>
      </c>
      <c r="M85" s="13">
        <f>Таблица1[[#This Row],[Количество ПОН КС (с месторождений)]]+Таблица1[[#This Row],[Кол-во месторождений]]</f>
        <v>425</v>
      </c>
      <c r="N85" s="6">
        <v>544</v>
      </c>
      <c r="O85" s="10">
        <v>23</v>
      </c>
      <c r="P85" s="10">
        <v>0</v>
      </c>
      <c r="Q85" s="10">
        <f>Таблица1[[#This Row],[Количество ПОН КС (с месторождениями)]]-Таблица1[[#This Row],[Количество линейных объектов]]</f>
        <v>402</v>
      </c>
      <c r="R8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402</v>
      </c>
      <c r="S85" s="6">
        <v>539</v>
      </c>
      <c r="T85" s="6">
        <f>Таблица1[[#This Row],[Количество ФИАС на 02.08.20182]]-Таблица1[[#This Row],[Количество ФИАС2]]</f>
        <v>0</v>
      </c>
      <c r="U85" s="6">
        <v>542</v>
      </c>
      <c r="V85" s="6">
        <v>544</v>
      </c>
      <c r="W85" s="6">
        <f>SUM(Таблица1[[#This Row],[Количество 27.08.20182]]-Таблица1[[#This Row],[Количество ФИАС на 02.08.20182]])</f>
        <v>5</v>
      </c>
      <c r="X85" s="6">
        <v>544</v>
      </c>
      <c r="Y85" s="6">
        <f>Таблица1[[#This Row],[Количество 30.08.2018]]-Таблица1[[#This Row],[Количество ФИАС на 02.08.20182]]</f>
        <v>5</v>
      </c>
      <c r="Z85" s="15">
        <f>Таблица1[[#This Row],[Количество 30.08.2018]]/Таблица1[[#This Row],[ПОН КС без линейных]]</f>
        <v>1.3532338308457712</v>
      </c>
      <c r="AA85" s="15">
        <f>Таблица1[[#This Row],[Количество 30.08.2018]]/Таблица1[[#This Row],[ПОН КС без линейных и месторождений]]</f>
        <v>1.3532338308457712</v>
      </c>
    </row>
    <row r="86" spans="1:27" hidden="1" x14ac:dyDescent="0.25">
      <c r="A86" s="4">
        <v>8611</v>
      </c>
      <c r="B86" s="5" t="s">
        <v>79</v>
      </c>
      <c r="C86" s="10">
        <v>970</v>
      </c>
      <c r="D86" s="10">
        <v>1236</v>
      </c>
      <c r="E86" s="10">
        <v>970</v>
      </c>
      <c r="F86" s="10"/>
      <c r="G86" s="10">
        <f>Таблица1[[#This Row],[Кол-во месторождений]]+Таблица1[[#This Row],[Количество ПОН КС (без месторождений)]]</f>
        <v>970</v>
      </c>
      <c r="H86" s="6">
        <v>960</v>
      </c>
      <c r="I86" s="6">
        <v>960</v>
      </c>
      <c r="J86" s="6">
        <v>0</v>
      </c>
      <c r="K86" s="6">
        <f>Таблица1[[#This Row],[Количество ФИАС2]]-Таблица1[[#This Row],[Количество ФИАС]]</f>
        <v>0</v>
      </c>
      <c r="L86" s="7">
        <f>Таблица1[[#This Row],[Количество ФИАС2]]*100/Таблица1[[#This Row],[Количество ПОН КС (без месторождений)]]</f>
        <v>98.969072164948457</v>
      </c>
      <c r="M86" s="13">
        <f>Таблица1[[#This Row],[Количество ПОН КС (с месторождений)]]+Таблица1[[#This Row],[Кол-во месторождений]]</f>
        <v>1236</v>
      </c>
      <c r="N86" s="6">
        <v>952</v>
      </c>
      <c r="O86" s="10">
        <v>5</v>
      </c>
      <c r="P86" s="10">
        <v>0</v>
      </c>
      <c r="Q86" s="10">
        <f>Таблица1[[#This Row],[Количество ПОН КС (с месторождениями)]]-Таблица1[[#This Row],[Количество линейных объектов]]</f>
        <v>965</v>
      </c>
      <c r="R8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965</v>
      </c>
      <c r="S86" s="6">
        <v>966</v>
      </c>
      <c r="T86" s="6">
        <f>Таблица1[[#This Row],[Количество ФИАС на 02.08.20182]]-Таблица1[[#This Row],[Количество ФИАС2]]</f>
        <v>6</v>
      </c>
      <c r="U86" s="6">
        <v>956</v>
      </c>
      <c r="V86" s="6">
        <v>958</v>
      </c>
      <c r="W86" s="6">
        <f>SUM(Таблица1[[#This Row],[Количество 27.08.20182]]-Таблица1[[#This Row],[Количество ФИАС на 02.08.20182]])</f>
        <v>-8</v>
      </c>
      <c r="X86" s="6">
        <v>958</v>
      </c>
      <c r="Y86" s="6">
        <f>Таблица1[[#This Row],[Количество 30.08.2018]]-Таблица1[[#This Row],[Количество ФИАС на 02.08.20182]]</f>
        <v>-8</v>
      </c>
      <c r="Z86" s="15">
        <f>Таблица1[[#This Row],[Количество 30.08.2018]]/Таблица1[[#This Row],[ПОН КС без линейных]]</f>
        <v>0.9927461139896373</v>
      </c>
      <c r="AA86" s="15">
        <f>Таблица1[[#This Row],[Количество 30.08.2018]]/Таблица1[[#This Row],[ПОН КС без линейных и месторождений]]</f>
        <v>0.9927461139896373</v>
      </c>
    </row>
    <row r="87" spans="1:27" hidden="1" x14ac:dyDescent="0.25">
      <c r="A87" s="4">
        <v>8611</v>
      </c>
      <c r="B87" s="5" t="s">
        <v>80</v>
      </c>
      <c r="C87" s="10">
        <v>806</v>
      </c>
      <c r="D87" s="10">
        <v>828</v>
      </c>
      <c r="E87" s="10">
        <v>806</v>
      </c>
      <c r="F87" s="10"/>
      <c r="G87" s="10">
        <f>Таблица1[[#This Row],[Кол-во месторождений]]+Таблица1[[#This Row],[Количество ПОН КС (без месторождений)]]</f>
        <v>806</v>
      </c>
      <c r="H87" s="6">
        <v>834</v>
      </c>
      <c r="I87" s="6">
        <v>834</v>
      </c>
      <c r="J87" s="6">
        <v>0</v>
      </c>
      <c r="K87" s="6">
        <f>Таблица1[[#This Row],[Количество ФИАС2]]-Таблица1[[#This Row],[Количество ФИАС]]</f>
        <v>0</v>
      </c>
      <c r="L87" s="7">
        <f>Таблица1[[#This Row],[Количество ФИАС2]]*100/Таблица1[[#This Row],[Количество ПОН КС (без месторождений)]]</f>
        <v>103.47394540942928</v>
      </c>
      <c r="M87" s="13">
        <f>Таблица1[[#This Row],[Количество ПОН КС (с месторождений)]]+Таблица1[[#This Row],[Кол-во месторождений]]</f>
        <v>828</v>
      </c>
      <c r="N87" s="6">
        <v>840</v>
      </c>
      <c r="O87" s="10">
        <v>24</v>
      </c>
      <c r="P87" s="10">
        <v>0</v>
      </c>
      <c r="Q87" s="10">
        <f>Таблица1[[#This Row],[Количество ПОН КС (с месторождениями)]]-Таблица1[[#This Row],[Количество линейных объектов]]</f>
        <v>782</v>
      </c>
      <c r="R8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782</v>
      </c>
      <c r="S87" s="6">
        <v>834</v>
      </c>
      <c r="T87" s="6">
        <f>Таблица1[[#This Row],[Количество ФИАС на 02.08.20182]]-Таблица1[[#This Row],[Количество ФИАС2]]</f>
        <v>0</v>
      </c>
      <c r="U87" s="6">
        <v>770</v>
      </c>
      <c r="V87" s="6">
        <v>840</v>
      </c>
      <c r="W87" s="6">
        <f>SUM(Таблица1[[#This Row],[Количество 27.08.20182]]-Таблица1[[#This Row],[Количество ФИАС на 02.08.20182]])</f>
        <v>6</v>
      </c>
      <c r="X87" s="6">
        <v>840</v>
      </c>
      <c r="Y87" s="6">
        <f>Таблица1[[#This Row],[Количество 30.08.2018]]-Таблица1[[#This Row],[Количество ФИАС на 02.08.20182]]</f>
        <v>6</v>
      </c>
      <c r="Z87" s="15">
        <f>Таблица1[[#This Row],[Количество 30.08.2018]]/Таблица1[[#This Row],[ПОН КС без линейных]]</f>
        <v>1.0741687979539642</v>
      </c>
      <c r="AA87" s="15">
        <f>Таблица1[[#This Row],[Количество 30.08.2018]]/Таблица1[[#This Row],[ПОН КС без линейных и месторождений]]</f>
        <v>1.0741687979539642</v>
      </c>
    </row>
    <row r="88" spans="1:27" hidden="1" x14ac:dyDescent="0.25">
      <c r="A88" s="4">
        <v>8611</v>
      </c>
      <c r="B88" s="5" t="s">
        <v>81</v>
      </c>
      <c r="C88" s="10">
        <v>558</v>
      </c>
      <c r="D88" s="10">
        <v>670</v>
      </c>
      <c r="E88" s="10">
        <v>558</v>
      </c>
      <c r="F88" s="10"/>
      <c r="G88" s="10">
        <f>Таблица1[[#This Row],[Кол-во месторождений]]+Таблица1[[#This Row],[Количество ПОН КС (без месторождений)]]</f>
        <v>558</v>
      </c>
      <c r="H88" s="6">
        <v>464</v>
      </c>
      <c r="I88" s="6">
        <v>464</v>
      </c>
      <c r="J88" s="6">
        <v>0</v>
      </c>
      <c r="K88" s="6">
        <f>Таблица1[[#This Row],[Количество ФИАС2]]-Таблица1[[#This Row],[Количество ФИАС]]</f>
        <v>0</v>
      </c>
      <c r="L88" s="7">
        <f>Таблица1[[#This Row],[Количество ФИАС2]]*100/Таблица1[[#This Row],[Количество ПОН КС (без месторождений)]]</f>
        <v>83.15412186379929</v>
      </c>
      <c r="M88" s="13">
        <f>Таблица1[[#This Row],[Количество ПОН КС (с месторождений)]]+Таблица1[[#This Row],[Кол-во месторождений]]</f>
        <v>670</v>
      </c>
      <c r="N88" s="6">
        <v>912</v>
      </c>
      <c r="O88" s="10">
        <v>29</v>
      </c>
      <c r="P88" s="10">
        <v>0</v>
      </c>
      <c r="Q88" s="10">
        <f>Таблица1[[#This Row],[Количество ПОН КС (с месторождениями)]]-Таблица1[[#This Row],[Количество линейных объектов]]</f>
        <v>529</v>
      </c>
      <c r="R8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529</v>
      </c>
      <c r="S88" s="6">
        <v>464</v>
      </c>
      <c r="T88" s="6">
        <f>Таблица1[[#This Row],[Количество ФИАС на 02.08.20182]]-Таблица1[[#This Row],[Количество ФИАС2]]</f>
        <v>0</v>
      </c>
      <c r="U88" s="6">
        <v>466</v>
      </c>
      <c r="V88" s="6">
        <v>912</v>
      </c>
      <c r="W88" s="6">
        <f>SUM(Таблица1[[#This Row],[Количество 27.08.20182]]-Таблица1[[#This Row],[Количество ФИАС на 02.08.20182]])</f>
        <v>448</v>
      </c>
      <c r="X88" s="6">
        <v>912</v>
      </c>
      <c r="Y88" s="6">
        <f>Таблица1[[#This Row],[Количество 30.08.2018]]-Таблица1[[#This Row],[Количество ФИАС на 02.08.20182]]</f>
        <v>448</v>
      </c>
      <c r="Z88" s="15">
        <f>Таблица1[[#This Row],[Количество 30.08.2018]]/Таблица1[[#This Row],[ПОН КС без линейных]]</f>
        <v>1.724007561436673</v>
      </c>
      <c r="AA88" s="15">
        <f>Таблица1[[#This Row],[Количество 30.08.2018]]/Таблица1[[#This Row],[ПОН КС без линейных и месторождений]]</f>
        <v>1.724007561436673</v>
      </c>
    </row>
    <row r="89" spans="1:27" hidden="1" x14ac:dyDescent="0.25">
      <c r="A89" s="4">
        <v>8611</v>
      </c>
      <c r="B89" s="5" t="s">
        <v>108</v>
      </c>
      <c r="C89" s="10">
        <v>3454</v>
      </c>
      <c r="D89" s="10">
        <v>3608</v>
      </c>
      <c r="E89" s="10">
        <v>3454</v>
      </c>
      <c r="F89" s="10"/>
      <c r="G89" s="10">
        <f>Таблица1[[#This Row],[Кол-во месторождений]]+Таблица1[[#This Row],[Количество ПОН КС (без месторождений)]]</f>
        <v>3454</v>
      </c>
      <c r="H89" s="6">
        <v>3488</v>
      </c>
      <c r="I89" s="6">
        <v>3488</v>
      </c>
      <c r="J89" s="6">
        <v>0</v>
      </c>
      <c r="K89" s="6">
        <f>Таблица1[[#This Row],[Количество ФИАС2]]-Таблица1[[#This Row],[Количество ФИАС]]</f>
        <v>0</v>
      </c>
      <c r="L89" s="7">
        <f>Таблица1[[#This Row],[Количество ФИАС2]]*100/Таблица1[[#This Row],[Количество ПОН КС (без месторождений)]]</f>
        <v>100.98436595251881</v>
      </c>
      <c r="M89" s="13">
        <f>Таблица1[[#This Row],[Количество ПОН КС (с месторождений)]]+Таблица1[[#This Row],[Кол-во месторождений]]</f>
        <v>3608</v>
      </c>
      <c r="N89" s="6">
        <v>3731</v>
      </c>
      <c r="O89" s="10">
        <v>17</v>
      </c>
      <c r="P89" s="10">
        <v>0</v>
      </c>
      <c r="Q89" s="10">
        <f>Таблица1[[#This Row],[Количество ПОН КС (с месторождениями)]]-Таблица1[[#This Row],[Количество линейных объектов]]</f>
        <v>3437</v>
      </c>
      <c r="R8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3437</v>
      </c>
      <c r="S89" s="6">
        <v>3521</v>
      </c>
      <c r="T89" s="6">
        <f>Таблица1[[#This Row],[Количество ФИАС на 02.08.20182]]-Таблица1[[#This Row],[Количество ФИАС2]]</f>
        <v>33</v>
      </c>
      <c r="U89" s="6">
        <v>3612</v>
      </c>
      <c r="V89" s="6">
        <v>3760</v>
      </c>
      <c r="W89" s="6">
        <f>SUM(Таблица1[[#This Row],[Количество 27.08.20182]]-Таблица1[[#This Row],[Количество ФИАС на 02.08.20182]])</f>
        <v>239</v>
      </c>
      <c r="X89" s="6">
        <v>3774</v>
      </c>
      <c r="Y89" s="6">
        <f>Таблица1[[#This Row],[Количество 30.08.2018]]-Таблица1[[#This Row],[Количество ФИАС на 02.08.20182]]</f>
        <v>253</v>
      </c>
      <c r="Z89" s="15">
        <f>Таблица1[[#This Row],[Количество 30.08.2018]]/Таблица1[[#This Row],[ПОН КС без линейных]]</f>
        <v>1.0980506255455338</v>
      </c>
      <c r="AA89" s="15">
        <f>Таблица1[[#This Row],[Количество 30.08.2018]]/Таблица1[[#This Row],[ПОН КС без линейных и месторождений]]</f>
        <v>1.0980506255455338</v>
      </c>
    </row>
    <row r="90" spans="1:27" hidden="1" x14ac:dyDescent="0.25">
      <c r="A90" s="4">
        <v>8611</v>
      </c>
      <c r="B90" s="5" t="s">
        <v>104</v>
      </c>
      <c r="C90" s="10">
        <v>760</v>
      </c>
      <c r="D90" s="10">
        <v>133</v>
      </c>
      <c r="E90" s="10">
        <v>760</v>
      </c>
      <c r="F90" s="10">
        <v>23</v>
      </c>
      <c r="G90" s="10">
        <f>Таблица1[[#This Row],[Кол-во месторождений]]+Таблица1[[#This Row],[Количество ПОН КС (без месторождений)]]</f>
        <v>783</v>
      </c>
      <c r="H90" s="6">
        <v>1510</v>
      </c>
      <c r="I90" s="6">
        <v>1550</v>
      </c>
      <c r="J90" s="6">
        <v>0</v>
      </c>
      <c r="K90" s="6">
        <f>Таблица1[[#This Row],[Количество ФИАС2]]-Таблица1[[#This Row],[Количество ФИАС]]</f>
        <v>40</v>
      </c>
      <c r="L90" s="7">
        <f>Таблица1[[#This Row],[Количество ФИАС2]]*100/Таблица1[[#This Row],[Количество ПОН КС (без месторождений)]]</f>
        <v>203.94736842105263</v>
      </c>
      <c r="M90" s="13">
        <f>Таблица1[[#This Row],[Количество ПОН КС (с месторождений)]]+Таблица1[[#This Row],[Кол-во месторождений]]</f>
        <v>156</v>
      </c>
      <c r="N90" s="6">
        <v>1586</v>
      </c>
      <c r="O90" s="10">
        <v>26</v>
      </c>
      <c r="P90" s="10">
        <v>0</v>
      </c>
      <c r="Q90" s="10">
        <f>Таблица1[[#This Row],[Количество ПОН КС (с месторождениями)]]-Таблица1[[#This Row],[Количество линейных объектов]]</f>
        <v>757</v>
      </c>
      <c r="R9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734</v>
      </c>
      <c r="S90" s="6">
        <v>1644</v>
      </c>
      <c r="T90" s="6">
        <f>Таблица1[[#This Row],[Количество ФИАС на 02.08.20182]]-Таблица1[[#This Row],[Количество ФИАС2]]</f>
        <v>94</v>
      </c>
      <c r="U90" s="6">
        <v>1633</v>
      </c>
      <c r="V90" s="6">
        <v>1673</v>
      </c>
      <c r="W90" s="6">
        <f>SUM(Таблица1[[#This Row],[Количество 27.08.20182]]-Таблица1[[#This Row],[Количество ФИАС на 02.08.20182]])</f>
        <v>29</v>
      </c>
      <c r="X90" s="6">
        <v>1673</v>
      </c>
      <c r="Y90" s="6">
        <f>Таблица1[[#This Row],[Количество 30.08.2018]]-Таблица1[[#This Row],[Количество ФИАС на 02.08.20182]]</f>
        <v>29</v>
      </c>
      <c r="Z90" s="15">
        <f>Таблица1[[#This Row],[Количество 30.08.2018]]/Таблица1[[#This Row],[ПОН КС без линейных]]</f>
        <v>2.2100396301188905</v>
      </c>
      <c r="AA90" s="15">
        <f>Таблица1[[#This Row],[Количество 30.08.2018]]/Таблица1[[#This Row],[ПОН КС без линейных и месторождений]]</f>
        <v>2.2792915531335152</v>
      </c>
    </row>
    <row r="91" spans="1:27" hidden="1" x14ac:dyDescent="0.25">
      <c r="A91" s="4">
        <v>8602</v>
      </c>
      <c r="B91" s="5" t="s">
        <v>82</v>
      </c>
      <c r="C91" s="10">
        <v>176230</v>
      </c>
      <c r="D91" s="10">
        <v>176472</v>
      </c>
      <c r="E91" s="10">
        <v>176230</v>
      </c>
      <c r="F91" s="10">
        <v>202</v>
      </c>
      <c r="G91" s="10">
        <f>Таблица1[[#This Row],[Кол-во месторождений]]+Таблица1[[#This Row],[Количество ПОН КС (без месторождений)]]</f>
        <v>176432</v>
      </c>
      <c r="H91" s="6">
        <v>6795</v>
      </c>
      <c r="I91" s="6">
        <v>6897</v>
      </c>
      <c r="J91" s="6">
        <v>0</v>
      </c>
      <c r="K91" s="6">
        <f>Таблица1[[#This Row],[Количество ФИАС2]]-Таблица1[[#This Row],[Количество ФИАС]]</f>
        <v>102</v>
      </c>
      <c r="L91" s="7">
        <f>Таблица1[[#This Row],[Количество ФИАС2]]*100/Таблица1[[#This Row],[Количество ПОН КС (без месторождений)]]</f>
        <v>3.9136355898541679</v>
      </c>
      <c r="M91" s="13">
        <f>Таблица1[[#This Row],[Количество ПОН КС (с месторождений)]]+Таблица1[[#This Row],[Кол-во месторождений]]</f>
        <v>176674</v>
      </c>
      <c r="N91" s="6">
        <v>9403</v>
      </c>
      <c r="O91" s="10">
        <v>2205</v>
      </c>
      <c r="P91" s="10">
        <v>4</v>
      </c>
      <c r="Q91" s="10">
        <f>Таблица1[[#This Row],[Количество ПОН КС (с месторождениями)]]-Таблица1[[#This Row],[Количество линейных объектов]]</f>
        <v>174227</v>
      </c>
      <c r="R9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174029</v>
      </c>
      <c r="S91" s="6">
        <v>24353</v>
      </c>
      <c r="T91" s="6">
        <f>Таблица1[[#This Row],[Количество ФИАС на 02.08.20182]]-Таблица1[[#This Row],[Количество ФИАС2]]</f>
        <v>17456</v>
      </c>
      <c r="U91" s="6">
        <v>29336</v>
      </c>
      <c r="V91" s="6">
        <v>60385</v>
      </c>
      <c r="W91" s="6">
        <f>SUM(Таблица1[[#This Row],[Количество 27.08.20182]]-Таблица1[[#This Row],[Количество ФИАС на 02.08.20182]])</f>
        <v>36032</v>
      </c>
      <c r="X91" s="6">
        <v>73292</v>
      </c>
      <c r="Y91" s="6">
        <f>Таблица1[[#This Row],[Количество 30.08.2018]]-Таблица1[[#This Row],[Количество ФИАС на 02.08.20182]]</f>
        <v>48939</v>
      </c>
      <c r="Z91" s="15">
        <f>Таблица1[[#This Row],[Количество 30.08.2018]]/Таблица1[[#This Row],[ПОН КС без линейных]]</f>
        <v>0.42066958622945927</v>
      </c>
      <c r="AA91" s="15">
        <f>Таблица1[[#This Row],[Количество 30.08.2018]]/Таблица1[[#This Row],[ПОН КС без линейных и месторождений]]</f>
        <v>0.42114819943802467</v>
      </c>
    </row>
    <row r="92" spans="1:27" x14ac:dyDescent="0.25">
      <c r="A92" s="4">
        <v>8617</v>
      </c>
      <c r="B92" s="5" t="s">
        <v>83</v>
      </c>
      <c r="C92" s="10">
        <v>13232</v>
      </c>
      <c r="D92" s="10">
        <v>13254</v>
      </c>
      <c r="E92" s="10">
        <v>13232</v>
      </c>
      <c r="F92" s="10"/>
      <c r="G92" s="10">
        <f>Таблица1[[#This Row],[Кол-во месторождений]]+Таблица1[[#This Row],[Количество ПОН КС (без месторождений)]]</f>
        <v>13232</v>
      </c>
      <c r="H92" s="6">
        <v>11215</v>
      </c>
      <c r="I92" s="6">
        <v>11251</v>
      </c>
      <c r="J92" s="6">
        <v>0</v>
      </c>
      <c r="K92" s="6">
        <f>Таблица1[[#This Row],[Количество ФИАС2]]-Таблица1[[#This Row],[Количество ФИАС]]</f>
        <v>36</v>
      </c>
      <c r="L92" s="7">
        <f>Таблица1[[#This Row],[Количество ФИАС2]]*100/Таблица1[[#This Row],[Количество ПОН КС (без месторождений)]]</f>
        <v>85.028718258766631</v>
      </c>
      <c r="M92" s="13">
        <f>Таблица1[[#This Row],[Количество ПОН КС (с месторождений)]]+Таблица1[[#This Row],[Кол-во месторождений]]</f>
        <v>13254</v>
      </c>
      <c r="N92" s="6">
        <v>11978</v>
      </c>
      <c r="O92" s="10">
        <v>60</v>
      </c>
      <c r="P92" s="10">
        <v>0</v>
      </c>
      <c r="Q92" s="10">
        <f>Таблица1[[#This Row],[Количество ПОН КС (с месторождениями)]]-Таблица1[[#This Row],[Количество линейных объектов]]</f>
        <v>13172</v>
      </c>
      <c r="R9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13172</v>
      </c>
      <c r="S92" s="6">
        <v>11322</v>
      </c>
      <c r="T92" s="6">
        <f>Таблица1[[#This Row],[Количество ФИАС на 02.08.20182]]-Таблица1[[#This Row],[Количество ФИАС2]]</f>
        <v>71</v>
      </c>
      <c r="U92" s="6">
        <v>11749</v>
      </c>
      <c r="V92" s="6">
        <v>12111</v>
      </c>
      <c r="W92" s="6">
        <f>SUM(Таблица1[[#This Row],[Количество 27.08.20182]]-Таблица1[[#This Row],[Количество ФИАС на 02.08.20182]])</f>
        <v>789</v>
      </c>
      <c r="X92" s="6">
        <v>12111</v>
      </c>
      <c r="Y92" s="6">
        <f>Таблица1[[#This Row],[Количество 30.08.2018]]-Таблица1[[#This Row],[Количество ФИАС на 02.08.20182]]</f>
        <v>789</v>
      </c>
      <c r="Z92" s="15">
        <f>Таблица1[[#This Row],[Количество 30.08.2018]]/Таблица1[[#This Row],[ПОН КС без линейных]]</f>
        <v>0.91945034922563007</v>
      </c>
      <c r="AA92" s="15">
        <f>Таблица1[[#This Row],[Количество 30.08.2018]]/Таблица1[[#This Row],[ПОН КС без линейных и месторождений]]</f>
        <v>0.91945034922563007</v>
      </c>
    </row>
    <row r="93" spans="1:27" x14ac:dyDescent="0.25">
      <c r="A93" s="4">
        <v>8617</v>
      </c>
      <c r="B93" s="5" t="s">
        <v>84</v>
      </c>
      <c r="C93" s="10">
        <v>1832</v>
      </c>
      <c r="D93" s="10">
        <v>2143</v>
      </c>
      <c r="E93" s="10">
        <v>1832</v>
      </c>
      <c r="F93" s="10"/>
      <c r="G93" s="10">
        <f>Таблица1[[#This Row],[Кол-во месторождений]]+Таблица1[[#This Row],[Количество ПОН КС (без месторождений)]]</f>
        <v>1832</v>
      </c>
      <c r="H93" s="6">
        <v>957</v>
      </c>
      <c r="I93" s="6">
        <v>958</v>
      </c>
      <c r="J93" s="6">
        <v>0</v>
      </c>
      <c r="K93" s="6">
        <f>Таблица1[[#This Row],[Количество ФИАС2]]-Таблица1[[#This Row],[Количество ФИАС]]</f>
        <v>1</v>
      </c>
      <c r="L93" s="7">
        <f>Таблица1[[#This Row],[Количество ФИАС2]]*100/Таблица1[[#This Row],[Количество ПОН КС (без месторождений)]]</f>
        <v>52.292576419213972</v>
      </c>
      <c r="M93" s="13">
        <f>Таблица1[[#This Row],[Количество ПОН КС (с месторождений)]]+Таблица1[[#This Row],[Кол-во месторождений]]</f>
        <v>2143</v>
      </c>
      <c r="N93" s="6">
        <v>1237</v>
      </c>
      <c r="O93" s="10">
        <v>30</v>
      </c>
      <c r="P93" s="10">
        <v>0</v>
      </c>
      <c r="Q93" s="10">
        <f>Таблица1[[#This Row],[Количество ПОН КС (с месторождениями)]]-Таблица1[[#This Row],[Количество линейных объектов]]</f>
        <v>1802</v>
      </c>
      <c r="R9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1802</v>
      </c>
      <c r="S93" s="6">
        <v>1404</v>
      </c>
      <c r="T93" s="6">
        <f>Таблица1[[#This Row],[Количество ФИАС на 02.08.20182]]-Таблица1[[#This Row],[Количество ФИАС2]]</f>
        <v>446</v>
      </c>
      <c r="U93" s="6">
        <v>1426</v>
      </c>
      <c r="V93" s="6">
        <v>1710</v>
      </c>
      <c r="W93" s="6">
        <f>SUM(Таблица1[[#This Row],[Количество 27.08.20182]]-Таблица1[[#This Row],[Количество ФИАС на 02.08.20182]])</f>
        <v>306</v>
      </c>
      <c r="X93" s="6">
        <v>1711</v>
      </c>
      <c r="Y93" s="6">
        <f>Таблица1[[#This Row],[Количество 30.08.2018]]-Таблица1[[#This Row],[Количество ФИАС на 02.08.20182]]</f>
        <v>307</v>
      </c>
      <c r="Z93" s="15">
        <f>Таблица1[[#This Row],[Количество 30.08.2018]]/Таблица1[[#This Row],[ПОН КС без линейных]]</f>
        <v>0.94950055493895669</v>
      </c>
      <c r="AA93" s="15">
        <f>Таблица1[[#This Row],[Количество 30.08.2018]]/Таблица1[[#This Row],[ПОН КС без линейных и месторождений]]</f>
        <v>0.94950055493895669</v>
      </c>
    </row>
    <row r="94" spans="1:27" x14ac:dyDescent="0.25">
      <c r="A94" s="4">
        <v>8617</v>
      </c>
      <c r="B94" s="5" t="s">
        <v>85</v>
      </c>
      <c r="C94" s="10">
        <v>5807</v>
      </c>
      <c r="D94" s="10">
        <v>5840</v>
      </c>
      <c r="E94" s="10">
        <v>5807</v>
      </c>
      <c r="F94" s="10"/>
      <c r="G94" s="10">
        <f>Таблица1[[#This Row],[Кол-во месторождений]]+Таблица1[[#This Row],[Количество ПОН КС (без месторождений)]]</f>
        <v>5807</v>
      </c>
      <c r="H94" s="6">
        <v>6044</v>
      </c>
      <c r="I94" s="6">
        <v>6044</v>
      </c>
      <c r="J94" s="6">
        <v>65</v>
      </c>
      <c r="K94" s="6">
        <f>Таблица1[[#This Row],[Количество ФИАС2]]-Таблица1[[#This Row],[Количество ФИАС]]</f>
        <v>0</v>
      </c>
      <c r="L94" s="7">
        <f>Таблица1[[#This Row],[Количество ФИАС2]]*100/Таблица1[[#This Row],[Количество ПОН КС (без месторождений)]]</f>
        <v>104.08128121232994</v>
      </c>
      <c r="M94" s="13">
        <f>Таблица1[[#This Row],[Количество ПОН КС (с месторождений)]]+Таблица1[[#This Row],[Кол-во месторождений]]</f>
        <v>5840</v>
      </c>
      <c r="N94" s="6">
        <v>6031</v>
      </c>
      <c r="O94" s="10">
        <v>43</v>
      </c>
      <c r="P94" s="10">
        <v>0</v>
      </c>
      <c r="Q94" s="10">
        <f>Таблица1[[#This Row],[Количество ПОН КС (с месторождениями)]]-Таблица1[[#This Row],[Количество линейных объектов]]</f>
        <v>5764</v>
      </c>
      <c r="R9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5764</v>
      </c>
      <c r="S94" s="6">
        <v>6055</v>
      </c>
      <c r="T94" s="6">
        <f>Таблица1[[#This Row],[Количество ФИАС на 02.08.20182]]-Таблица1[[#This Row],[Количество ФИАС2]]</f>
        <v>11</v>
      </c>
      <c r="U94" s="6">
        <v>5968</v>
      </c>
      <c r="V94" s="6">
        <v>6071</v>
      </c>
      <c r="W94" s="6">
        <f>SUM(Таблица1[[#This Row],[Количество 27.08.20182]]-Таблица1[[#This Row],[Количество ФИАС на 02.08.20182]])</f>
        <v>16</v>
      </c>
      <c r="X94" s="6">
        <v>6071</v>
      </c>
      <c r="Y94" s="6">
        <f>Таблица1[[#This Row],[Количество 30.08.2018]]-Таблица1[[#This Row],[Количество ФИАС на 02.08.20182]]</f>
        <v>16</v>
      </c>
      <c r="Z94" s="15">
        <f>Таблица1[[#This Row],[Количество 30.08.2018]]/Таблица1[[#This Row],[ПОН КС без линейных]]</f>
        <v>1.0532616238723109</v>
      </c>
      <c r="AA94" s="15">
        <f>Таблица1[[#This Row],[Количество 30.08.2018]]/Таблица1[[#This Row],[ПОН КС без линейных и месторождений]]</f>
        <v>1.0532616238723109</v>
      </c>
    </row>
    <row r="95" spans="1:27" x14ac:dyDescent="0.25">
      <c r="A95" s="4">
        <v>8617</v>
      </c>
      <c r="B95" s="5" t="s">
        <v>86</v>
      </c>
      <c r="C95" s="10">
        <v>7570</v>
      </c>
      <c r="D95" s="10">
        <v>7815</v>
      </c>
      <c r="E95" s="10">
        <v>7570</v>
      </c>
      <c r="F95" s="10"/>
      <c r="G95" s="10">
        <f>Таблица1[[#This Row],[Кол-во месторождений]]+Таблица1[[#This Row],[Количество ПОН КС (без месторождений)]]</f>
        <v>7570</v>
      </c>
      <c r="H95" s="6">
        <v>8068</v>
      </c>
      <c r="I95" s="6">
        <v>8069</v>
      </c>
      <c r="J95" s="6">
        <v>0</v>
      </c>
      <c r="K95" s="6">
        <f>Таблица1[[#This Row],[Количество ФИАС2]]-Таблица1[[#This Row],[Количество ФИАС]]</f>
        <v>1</v>
      </c>
      <c r="L95" s="7">
        <f>Таблица1[[#This Row],[Количество ФИАС2]]*100/Таблица1[[#This Row],[Количество ПОН КС (без месторождений)]]</f>
        <v>106.59180977542933</v>
      </c>
      <c r="M95" s="13">
        <f>Таблица1[[#This Row],[Количество ПОН КС (с месторождений)]]+Таблица1[[#This Row],[Кол-во месторождений]]</f>
        <v>7815</v>
      </c>
      <c r="N95" s="6">
        <v>8413</v>
      </c>
      <c r="O95" s="10">
        <v>67</v>
      </c>
      <c r="P95" s="10">
        <v>0</v>
      </c>
      <c r="Q95" s="10">
        <f>Таблица1[[#This Row],[Количество ПОН КС (с месторождениями)]]-Таблица1[[#This Row],[Количество линейных объектов]]</f>
        <v>7503</v>
      </c>
      <c r="R9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7503</v>
      </c>
      <c r="S95" s="6">
        <v>8212</v>
      </c>
      <c r="T95" s="6">
        <f>Таблица1[[#This Row],[Количество ФИАС на 02.08.20182]]-Таблица1[[#This Row],[Количество ФИАС2]]</f>
        <v>143</v>
      </c>
      <c r="U95" s="6">
        <v>8248</v>
      </c>
      <c r="V95" s="6">
        <v>8413</v>
      </c>
      <c r="W95" s="6">
        <f>SUM(Таблица1[[#This Row],[Количество 27.08.20182]]-Таблица1[[#This Row],[Количество ФИАС на 02.08.20182]])</f>
        <v>201</v>
      </c>
      <c r="X95" s="6">
        <v>8413</v>
      </c>
      <c r="Y95" s="6">
        <f>Таблица1[[#This Row],[Количество 30.08.2018]]-Таблица1[[#This Row],[Количество ФИАС на 02.08.20182]]</f>
        <v>201</v>
      </c>
      <c r="Z95" s="15">
        <f>Таблица1[[#This Row],[Количество 30.08.2018]]/Таблица1[[#This Row],[ПОН КС без линейных]]</f>
        <v>1.1212848194055711</v>
      </c>
      <c r="AA95" s="15">
        <f>Таблица1[[#This Row],[Количество 30.08.2018]]/Таблица1[[#This Row],[ПОН КС без линейных и месторождений]]</f>
        <v>1.1212848194055711</v>
      </c>
    </row>
    <row r="96" spans="1:27" x14ac:dyDescent="0.25">
      <c r="A96" s="4">
        <v>8617</v>
      </c>
      <c r="B96" s="5" t="s">
        <v>87</v>
      </c>
      <c r="C96" s="10">
        <v>4851</v>
      </c>
      <c r="D96" s="10">
        <v>5745</v>
      </c>
      <c r="E96" s="10">
        <v>4851</v>
      </c>
      <c r="F96" s="10"/>
      <c r="G96" s="10">
        <f>Таблица1[[#This Row],[Кол-во месторождений]]+Таблица1[[#This Row],[Количество ПОН КС (без месторождений)]]</f>
        <v>4851</v>
      </c>
      <c r="H96" s="6">
        <v>480</v>
      </c>
      <c r="I96" s="6">
        <v>480</v>
      </c>
      <c r="J96" s="6">
        <v>0</v>
      </c>
      <c r="K96" s="6">
        <f>Таблица1[[#This Row],[Количество ФИАС2]]-Таблица1[[#This Row],[Количество ФИАС]]</f>
        <v>0</v>
      </c>
      <c r="L96" s="7">
        <f>Таблица1[[#This Row],[Количество ФИАС2]]*100/Таблица1[[#This Row],[Количество ПОН КС (без месторождений)]]</f>
        <v>9.8948670377241807</v>
      </c>
      <c r="M96" s="13">
        <f>Таблица1[[#This Row],[Количество ПОН КС (с месторождений)]]+Таблица1[[#This Row],[Кол-во месторождений]]</f>
        <v>5745</v>
      </c>
      <c r="N96" s="6">
        <v>576</v>
      </c>
      <c r="O96" s="10">
        <v>178</v>
      </c>
      <c r="P96" s="10">
        <v>0</v>
      </c>
      <c r="Q96" s="10">
        <f>Таблица1[[#This Row],[Количество ПОН КС (с месторождениями)]]-Таблица1[[#This Row],[Количество линейных объектов]]</f>
        <v>4673</v>
      </c>
      <c r="R9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4673</v>
      </c>
      <c r="S96" s="6">
        <v>845</v>
      </c>
      <c r="T96" s="6">
        <f>Таблица1[[#This Row],[Количество ФИАС на 02.08.20182]]-Таблица1[[#This Row],[Количество ФИАС2]]</f>
        <v>365</v>
      </c>
      <c r="U96" s="6">
        <v>1393</v>
      </c>
      <c r="V96" s="6">
        <v>2657</v>
      </c>
      <c r="W96" s="6">
        <f>SUM(Таблица1[[#This Row],[Количество 27.08.20182]]-Таблица1[[#This Row],[Количество ФИАС на 02.08.20182]])</f>
        <v>1812</v>
      </c>
      <c r="X96" s="6">
        <v>3227</v>
      </c>
      <c r="Y96" s="6">
        <f>Таблица1[[#This Row],[Количество 30.08.2018]]-Таблица1[[#This Row],[Количество ФИАС на 02.08.20182]]</f>
        <v>2382</v>
      </c>
      <c r="Z96" s="15">
        <f>Таблица1[[#This Row],[Количество 30.08.2018]]/Таблица1[[#This Row],[ПОН КС без линейных]]</f>
        <v>0.69056280761823241</v>
      </c>
      <c r="AA96" s="15">
        <f>Таблица1[[#This Row],[Количество 30.08.2018]]/Таблица1[[#This Row],[ПОН КС без линейных и месторождений]]</f>
        <v>0.69056280761823241</v>
      </c>
    </row>
    <row r="97" spans="1:27" x14ac:dyDescent="0.25">
      <c r="A97" s="4">
        <v>8617</v>
      </c>
      <c r="B97" s="5" t="s">
        <v>88</v>
      </c>
      <c r="C97" s="10">
        <v>807</v>
      </c>
      <c r="D97" s="10">
        <v>905</v>
      </c>
      <c r="E97" s="10">
        <v>807</v>
      </c>
      <c r="F97" s="10"/>
      <c r="G97" s="10">
        <f>Таблица1[[#This Row],[Кол-во месторождений]]+Таблица1[[#This Row],[Количество ПОН КС (без месторождений)]]</f>
        <v>807</v>
      </c>
      <c r="H97" s="6">
        <v>294</v>
      </c>
      <c r="I97" s="6">
        <v>309</v>
      </c>
      <c r="J97" s="6">
        <v>0</v>
      </c>
      <c r="K97" s="6">
        <f>Таблица1[[#This Row],[Количество ФИАС2]]-Таблица1[[#This Row],[Количество ФИАС]]</f>
        <v>15</v>
      </c>
      <c r="L97" s="7">
        <f>Таблица1[[#This Row],[Количество ФИАС2]]*100/Таблица1[[#This Row],[Количество ПОН КС (без месторождений)]]</f>
        <v>38.289962825278813</v>
      </c>
      <c r="M97" s="13">
        <f>Таблица1[[#This Row],[Количество ПОН КС (с месторождений)]]+Таблица1[[#This Row],[Кол-во месторождений]]</f>
        <v>905</v>
      </c>
      <c r="N97" s="6">
        <v>350</v>
      </c>
      <c r="O97" s="10">
        <v>17</v>
      </c>
      <c r="P97" s="10">
        <v>0</v>
      </c>
      <c r="Q97" s="10">
        <f>Таблица1[[#This Row],[Количество ПОН КС (с месторождениями)]]-Таблица1[[#This Row],[Количество линейных объектов]]</f>
        <v>790</v>
      </c>
      <c r="R97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790</v>
      </c>
      <c r="S97" s="6" t="s">
        <v>133</v>
      </c>
      <c r="T97" s="6" t="e">
        <f>Таблица1[[#This Row],[Количество ФИАС на 02.08.20182]]-Таблица1[[#This Row],[Количество ФИАС2]]</f>
        <v>#VALUE!</v>
      </c>
      <c r="U97" s="6">
        <v>315</v>
      </c>
      <c r="V97" s="6">
        <v>351</v>
      </c>
      <c r="W97" s="6" t="e">
        <f>SUM(Таблица1[[#This Row],[Количество 27.08.20182]]-Таблица1[[#This Row],[Количество ФИАС на 02.08.20182]])</f>
        <v>#VALUE!</v>
      </c>
      <c r="X97" s="6">
        <v>351</v>
      </c>
      <c r="Y97" s="6" t="e">
        <f>Таблица1[[#This Row],[Количество 30.08.2018]]-Таблица1[[#This Row],[Количество ФИАС на 02.08.20182]]</f>
        <v>#VALUE!</v>
      </c>
      <c r="Z97" s="15">
        <f>Таблица1[[#This Row],[Количество 30.08.2018]]/Таблица1[[#This Row],[ПОН КС без линейных]]</f>
        <v>0.44430379746835441</v>
      </c>
      <c r="AA97" s="15">
        <f>Таблица1[[#This Row],[Количество 30.08.2018]]/Таблица1[[#This Row],[ПОН КС без линейных и месторождений]]</f>
        <v>0.44430379746835441</v>
      </c>
    </row>
    <row r="98" spans="1:27" x14ac:dyDescent="0.25">
      <c r="A98" s="4">
        <v>8617</v>
      </c>
      <c r="B98" s="5" t="s">
        <v>89</v>
      </c>
      <c r="C98" s="10">
        <v>403</v>
      </c>
      <c r="D98" s="10">
        <v>458</v>
      </c>
      <c r="E98" s="10">
        <v>403</v>
      </c>
      <c r="F98" s="10"/>
      <c r="G98" s="10">
        <f>Таблица1[[#This Row],[Кол-во месторождений]]+Таблица1[[#This Row],[Количество ПОН КС (без месторождений)]]</f>
        <v>403</v>
      </c>
      <c r="H98" s="6">
        <v>441</v>
      </c>
      <c r="I98" s="6">
        <v>441</v>
      </c>
      <c r="J98" s="6">
        <v>0</v>
      </c>
      <c r="K98" s="6">
        <f>Таблица1[[#This Row],[Количество ФИАС2]]-Таблица1[[#This Row],[Количество ФИАС]]</f>
        <v>0</v>
      </c>
      <c r="L98" s="7">
        <f>Таблица1[[#This Row],[Количество ФИАС2]]*100/Таблица1[[#This Row],[Количество ПОН КС (без месторождений)]]</f>
        <v>109.42928039702234</v>
      </c>
      <c r="M98" s="13">
        <f>Таблица1[[#This Row],[Количество ПОН КС (с месторождений)]]+Таблица1[[#This Row],[Кол-во месторождений]]</f>
        <v>458</v>
      </c>
      <c r="N98" s="6">
        <v>597</v>
      </c>
      <c r="O98" s="10">
        <v>6</v>
      </c>
      <c r="P98" s="10">
        <v>0</v>
      </c>
      <c r="Q98" s="10">
        <f>Таблица1[[#This Row],[Количество ПОН КС (с месторождениями)]]-Таблица1[[#This Row],[Количество линейных объектов]]</f>
        <v>397</v>
      </c>
      <c r="R98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397</v>
      </c>
      <c r="S98" s="6">
        <v>441</v>
      </c>
      <c r="T98" s="6">
        <f>Таблица1[[#This Row],[Количество ФИАС на 02.08.20182]]-Таблица1[[#This Row],[Количество ФИАС2]]</f>
        <v>0</v>
      </c>
      <c r="U98" s="6">
        <v>595</v>
      </c>
      <c r="V98" s="6">
        <v>597</v>
      </c>
      <c r="W98" s="6">
        <f>SUM(Таблица1[[#This Row],[Количество 27.08.20182]]-Таблица1[[#This Row],[Количество ФИАС на 02.08.20182]])</f>
        <v>156</v>
      </c>
      <c r="X98" s="6">
        <v>597</v>
      </c>
      <c r="Y98" s="6">
        <f>Таблица1[[#This Row],[Количество 30.08.2018]]-Таблица1[[#This Row],[Количество ФИАС на 02.08.20182]]</f>
        <v>156</v>
      </c>
      <c r="Z98" s="15">
        <f>Таблица1[[#This Row],[Количество 30.08.2018]]/Таблица1[[#This Row],[ПОН КС без линейных]]</f>
        <v>1.5037783375314862</v>
      </c>
      <c r="AA98" s="15">
        <f>Таблица1[[#This Row],[Количество 30.08.2018]]/Таблица1[[#This Row],[ПОН КС без линейных и месторождений]]</f>
        <v>1.5037783375314862</v>
      </c>
    </row>
    <row r="99" spans="1:27" x14ac:dyDescent="0.25">
      <c r="A99" s="4">
        <v>8617</v>
      </c>
      <c r="B99" s="5" t="s">
        <v>90</v>
      </c>
      <c r="C99" s="10">
        <v>3944</v>
      </c>
      <c r="D99" s="10">
        <v>3944</v>
      </c>
      <c r="E99" s="10">
        <v>3944</v>
      </c>
      <c r="F99" s="10"/>
      <c r="G99" s="10">
        <f>Таблица1[[#This Row],[Кол-во месторождений]]+Таблица1[[#This Row],[Количество ПОН КС (без месторождений)]]</f>
        <v>3944</v>
      </c>
      <c r="H99" s="6">
        <v>3453</v>
      </c>
      <c r="I99" s="6">
        <v>3453</v>
      </c>
      <c r="J99" s="6">
        <v>0</v>
      </c>
      <c r="K99" s="6">
        <f>Таблица1[[#This Row],[Количество ФИАС2]]-Таблица1[[#This Row],[Количество ФИАС]]</f>
        <v>0</v>
      </c>
      <c r="L99" s="7">
        <f>Таблица1[[#This Row],[Количество ФИАС2]]*100/Таблица1[[#This Row],[Количество ПОН КС (без месторождений)]]</f>
        <v>87.550709939148078</v>
      </c>
      <c r="M99" s="13">
        <f>Таблица1[[#This Row],[Количество ПОН КС (с месторождений)]]+Таблица1[[#This Row],[Кол-во месторождений]]</f>
        <v>3944</v>
      </c>
      <c r="N99" s="6">
        <v>3567</v>
      </c>
      <c r="O99" s="10">
        <v>56</v>
      </c>
      <c r="P99" s="10">
        <v>0</v>
      </c>
      <c r="Q99" s="10">
        <f>Таблица1[[#This Row],[Количество ПОН КС (с месторождениями)]]-Таблица1[[#This Row],[Количество линейных объектов]]</f>
        <v>3888</v>
      </c>
      <c r="R99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3888</v>
      </c>
      <c r="S99" s="6">
        <v>3453</v>
      </c>
      <c r="T99" s="6">
        <f>Таблица1[[#This Row],[Количество ФИАС на 02.08.20182]]-Таблица1[[#This Row],[Количество ФИАС2]]</f>
        <v>0</v>
      </c>
      <c r="U99" s="6">
        <v>3563</v>
      </c>
      <c r="V99" s="6">
        <v>5004</v>
      </c>
      <c r="W99" s="6">
        <f>SUM(Таблица1[[#This Row],[Количество 27.08.20182]]-Таблица1[[#This Row],[Количество ФИАС на 02.08.20182]])</f>
        <v>1551</v>
      </c>
      <c r="X99" s="6">
        <v>5593</v>
      </c>
      <c r="Y99" s="6">
        <f>Таблица1[[#This Row],[Количество 30.08.2018]]-Таблица1[[#This Row],[Количество ФИАС на 02.08.20182]]</f>
        <v>2140</v>
      </c>
      <c r="Z99" s="15">
        <f>Таблица1[[#This Row],[Количество 30.08.2018]]/Таблица1[[#This Row],[ПОН КС без линейных]]</f>
        <v>1.4385288065843622</v>
      </c>
      <c r="AA99" s="15">
        <f>Таблица1[[#This Row],[Количество 30.08.2018]]/Таблица1[[#This Row],[ПОН КС без линейных и месторождений]]</f>
        <v>1.4385288065843622</v>
      </c>
    </row>
    <row r="100" spans="1:27" x14ac:dyDescent="0.25">
      <c r="A100" s="4">
        <v>8617</v>
      </c>
      <c r="B100" s="5" t="s">
        <v>91</v>
      </c>
      <c r="C100" s="10">
        <v>404</v>
      </c>
      <c r="D100" s="10">
        <v>394</v>
      </c>
      <c r="E100" s="10">
        <v>404</v>
      </c>
      <c r="F100" s="10"/>
      <c r="G100" s="10">
        <f>Таблица1[[#This Row],[Кол-во месторождений]]+Таблица1[[#This Row],[Количество ПОН КС (без месторождений)]]</f>
        <v>404</v>
      </c>
      <c r="H100" s="6">
        <v>497</v>
      </c>
      <c r="I100" s="6">
        <v>497</v>
      </c>
      <c r="J100" s="6">
        <v>0</v>
      </c>
      <c r="K100" s="6">
        <f>Таблица1[[#This Row],[Количество ФИАС2]]-Таблица1[[#This Row],[Количество ФИАС]]</f>
        <v>0</v>
      </c>
      <c r="L100" s="7">
        <f>Таблица1[[#This Row],[Количество ФИАС2]]*100/Таблица1[[#This Row],[Количество ПОН КС (без месторождений)]]</f>
        <v>123.01980198019803</v>
      </c>
      <c r="M100" s="13">
        <f>Таблица1[[#This Row],[Количество ПОН КС (с месторождений)]]+Таблица1[[#This Row],[Кол-во месторождений]]</f>
        <v>394</v>
      </c>
      <c r="N100" s="6">
        <v>488</v>
      </c>
      <c r="O100" s="10">
        <v>9</v>
      </c>
      <c r="P100" s="10">
        <v>0</v>
      </c>
      <c r="Q100" s="10">
        <f>Таблица1[[#This Row],[Количество ПОН КС (с месторождениями)]]-Таблица1[[#This Row],[Количество линейных объектов]]</f>
        <v>395</v>
      </c>
      <c r="R100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395</v>
      </c>
      <c r="S100" s="6">
        <v>497</v>
      </c>
      <c r="T100" s="6">
        <f>Таблица1[[#This Row],[Количество ФИАС на 02.08.20182]]-Таблица1[[#This Row],[Количество ФИАС2]]</f>
        <v>0</v>
      </c>
      <c r="U100" s="6">
        <v>488</v>
      </c>
      <c r="V100" s="6">
        <v>488</v>
      </c>
      <c r="W100" s="6">
        <f>SUM(Таблица1[[#This Row],[Количество 27.08.20182]]-Таблица1[[#This Row],[Количество ФИАС на 02.08.20182]])</f>
        <v>-9</v>
      </c>
      <c r="X100" s="6">
        <v>488</v>
      </c>
      <c r="Y100" s="6">
        <f>Таблица1[[#This Row],[Количество 30.08.2018]]-Таблица1[[#This Row],[Количество ФИАС на 02.08.20182]]</f>
        <v>-9</v>
      </c>
      <c r="Z100" s="15">
        <f>Таблица1[[#This Row],[Количество 30.08.2018]]/Таблица1[[#This Row],[ПОН КС без линейных]]</f>
        <v>1.2354430379746835</v>
      </c>
      <c r="AA100" s="15">
        <f>Таблица1[[#This Row],[Количество 30.08.2018]]/Таблица1[[#This Row],[ПОН КС без линейных и месторождений]]</f>
        <v>1.2354430379746835</v>
      </c>
    </row>
    <row r="101" spans="1:27" x14ac:dyDescent="0.25">
      <c r="A101" s="4">
        <v>8617</v>
      </c>
      <c r="B101" s="5" t="s">
        <v>92</v>
      </c>
      <c r="C101" s="10">
        <v>588</v>
      </c>
      <c r="D101" s="10">
        <v>682</v>
      </c>
      <c r="E101" s="10">
        <v>588</v>
      </c>
      <c r="F101" s="10"/>
      <c r="G101" s="10">
        <f>Таблица1[[#This Row],[Кол-во месторождений]]+Таблица1[[#This Row],[Количество ПОН КС (без месторождений)]]</f>
        <v>588</v>
      </c>
      <c r="H101" s="6">
        <v>496</v>
      </c>
      <c r="I101" s="6">
        <v>496</v>
      </c>
      <c r="J101" s="6">
        <v>0</v>
      </c>
      <c r="K101" s="6">
        <f>Таблица1[[#This Row],[Количество ФИАС2]]-Таблица1[[#This Row],[Количество ФИАС]]</f>
        <v>0</v>
      </c>
      <c r="L101" s="7">
        <f>Таблица1[[#This Row],[Количество ФИАС2]]*100/Таблица1[[#This Row],[Количество ПОН КС (без месторождений)]]</f>
        <v>84.353741496598644</v>
      </c>
      <c r="M101" s="13">
        <f>Таблица1[[#This Row],[Количество ПОН КС (с месторождений)]]+Таблица1[[#This Row],[Кол-во месторождений]]</f>
        <v>682</v>
      </c>
      <c r="N101" s="6">
        <v>510</v>
      </c>
      <c r="O101" s="10">
        <v>1</v>
      </c>
      <c r="P101" s="10">
        <v>1</v>
      </c>
      <c r="Q101" s="10">
        <f>Таблица1[[#This Row],[Количество ПОН КС (с месторождениями)]]-Таблица1[[#This Row],[Количество линейных объектов]]</f>
        <v>587</v>
      </c>
      <c r="R101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588</v>
      </c>
      <c r="S101" s="6">
        <v>496</v>
      </c>
      <c r="T101" s="6">
        <f>Таблица1[[#This Row],[Количество ФИАС на 02.08.20182]]-Таблица1[[#This Row],[Количество ФИАС2]]</f>
        <v>0</v>
      </c>
      <c r="U101" s="6">
        <v>510</v>
      </c>
      <c r="V101" s="6">
        <v>528</v>
      </c>
      <c r="W101" s="6">
        <f>SUM(Таблица1[[#This Row],[Количество 27.08.20182]]-Таблица1[[#This Row],[Количество ФИАС на 02.08.20182]])</f>
        <v>32</v>
      </c>
      <c r="X101" s="6">
        <v>549</v>
      </c>
      <c r="Y101" s="6">
        <f>Таблица1[[#This Row],[Количество 30.08.2018]]-Таблица1[[#This Row],[Количество ФИАС на 02.08.20182]]</f>
        <v>53</v>
      </c>
      <c r="Z101" s="15">
        <f>Таблица1[[#This Row],[Количество 30.08.2018]]/Таблица1[[#This Row],[ПОН КС без линейных]]</f>
        <v>0.93526405451448036</v>
      </c>
      <c r="AA101" s="15">
        <f>Таблица1[[#This Row],[Количество 30.08.2018]]/Таблица1[[#This Row],[ПОН КС без линейных и месторождений]]</f>
        <v>0.93367346938775508</v>
      </c>
    </row>
    <row r="102" spans="1:27" x14ac:dyDescent="0.25">
      <c r="A102" s="4">
        <v>8617</v>
      </c>
      <c r="B102" s="5" t="s">
        <v>93</v>
      </c>
      <c r="C102" s="10">
        <v>130</v>
      </c>
      <c r="D102" s="10">
        <v>310</v>
      </c>
      <c r="E102" s="10">
        <v>130</v>
      </c>
      <c r="F102" s="10"/>
      <c r="G102" s="10">
        <f>Таблица1[[#This Row],[Кол-во месторождений]]+Таблица1[[#This Row],[Количество ПОН КС (без месторождений)]]</f>
        <v>130</v>
      </c>
      <c r="H102" s="6">
        <v>134</v>
      </c>
      <c r="I102" s="6">
        <v>134</v>
      </c>
      <c r="J102" s="6">
        <v>0</v>
      </c>
      <c r="K102" s="6">
        <f>Таблица1[[#This Row],[Количество ФИАС2]]-Таблица1[[#This Row],[Количество ФИАС]]</f>
        <v>0</v>
      </c>
      <c r="L102" s="7">
        <f>Таблица1[[#This Row],[Количество ФИАС2]]*100/Таблица1[[#This Row],[Количество ПОН КС (без месторождений)]]</f>
        <v>103.07692307692308</v>
      </c>
      <c r="M102" s="13">
        <f>Таблица1[[#This Row],[Количество ПОН КС (с месторождений)]]+Таблица1[[#This Row],[Кол-во месторождений]]</f>
        <v>310</v>
      </c>
      <c r="N102" s="6">
        <v>136</v>
      </c>
      <c r="O102" s="10">
        <v>3</v>
      </c>
      <c r="P102" s="10">
        <v>0</v>
      </c>
      <c r="Q102" s="10">
        <f>Таблица1[[#This Row],[Количество ПОН КС (с месторождениями)]]-Таблица1[[#This Row],[Количество линейных объектов]]</f>
        <v>127</v>
      </c>
      <c r="R102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127</v>
      </c>
      <c r="S102" s="6">
        <v>134</v>
      </c>
      <c r="T102" s="6">
        <f>Таблица1[[#This Row],[Количество ФИАС на 02.08.20182]]-Таблица1[[#This Row],[Количество ФИАС2]]</f>
        <v>0</v>
      </c>
      <c r="U102" s="6">
        <v>134</v>
      </c>
      <c r="V102" s="6">
        <v>136</v>
      </c>
      <c r="W102" s="6">
        <f>SUM(Таблица1[[#This Row],[Количество 27.08.20182]]-Таблица1[[#This Row],[Количество ФИАС на 02.08.20182]])</f>
        <v>2</v>
      </c>
      <c r="X102" s="6">
        <v>136</v>
      </c>
      <c r="Y102" s="6">
        <f>Таблица1[[#This Row],[Количество 30.08.2018]]-Таблица1[[#This Row],[Количество ФИАС на 02.08.20182]]</f>
        <v>2</v>
      </c>
      <c r="Z102" s="15">
        <f>Таблица1[[#This Row],[Количество 30.08.2018]]/Таблица1[[#This Row],[ПОН КС без линейных]]</f>
        <v>1.0708661417322836</v>
      </c>
      <c r="AA102" s="15">
        <f>Таблица1[[#This Row],[Количество 30.08.2018]]/Таблица1[[#This Row],[ПОН КС без линейных и месторождений]]</f>
        <v>1.0708661417322836</v>
      </c>
    </row>
    <row r="103" spans="1:27" x14ac:dyDescent="0.25">
      <c r="A103" s="4">
        <v>8617</v>
      </c>
      <c r="B103" s="5" t="s">
        <v>94</v>
      </c>
      <c r="C103" s="10">
        <v>937</v>
      </c>
      <c r="D103" s="10">
        <v>1065</v>
      </c>
      <c r="E103" s="10">
        <v>937</v>
      </c>
      <c r="F103" s="10"/>
      <c r="G103" s="10">
        <f>Таблица1[[#This Row],[Кол-во месторождений]]+Таблица1[[#This Row],[Количество ПОН КС (без месторождений)]]</f>
        <v>937</v>
      </c>
      <c r="H103" s="6">
        <v>880</v>
      </c>
      <c r="I103" s="6">
        <v>883</v>
      </c>
      <c r="J103" s="6">
        <v>0</v>
      </c>
      <c r="K103" s="6">
        <f>Таблица1[[#This Row],[Количество ФИАС2]]-Таблица1[[#This Row],[Количество ФИАС]]</f>
        <v>3</v>
      </c>
      <c r="L103" s="7">
        <f>Таблица1[[#This Row],[Количество ФИАС2]]*100/Таблица1[[#This Row],[Количество ПОН КС (без месторождений)]]</f>
        <v>94.236926360725718</v>
      </c>
      <c r="M103" s="13">
        <f>Таблица1[[#This Row],[Количество ПОН КС (с месторождений)]]+Таблица1[[#This Row],[Кол-во месторождений]]</f>
        <v>1065</v>
      </c>
      <c r="N103" s="6">
        <v>928</v>
      </c>
      <c r="O103" s="10">
        <v>30</v>
      </c>
      <c r="P103" s="10">
        <v>0</v>
      </c>
      <c r="Q103" s="10">
        <f>Таблица1[[#This Row],[Количество ПОН КС (с месторождениями)]]-Таблица1[[#This Row],[Количество линейных объектов]]</f>
        <v>907</v>
      </c>
      <c r="R103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907</v>
      </c>
      <c r="S103" s="6">
        <v>883</v>
      </c>
      <c r="T103" s="6">
        <f>Таблица1[[#This Row],[Количество ФИАС на 02.08.20182]]-Таблица1[[#This Row],[Количество ФИАС2]]</f>
        <v>0</v>
      </c>
      <c r="U103" s="6">
        <v>926</v>
      </c>
      <c r="V103" s="6">
        <v>928</v>
      </c>
      <c r="W103" s="6">
        <f>SUM(Таблица1[[#This Row],[Количество 27.08.20182]]-Таблица1[[#This Row],[Количество ФИАС на 02.08.20182]])</f>
        <v>45</v>
      </c>
      <c r="X103" s="6">
        <v>928</v>
      </c>
      <c r="Y103" s="6">
        <f>Таблица1[[#This Row],[Количество 30.08.2018]]-Таблица1[[#This Row],[Количество ФИАС на 02.08.20182]]</f>
        <v>45</v>
      </c>
      <c r="Z103" s="15">
        <f>Таблица1[[#This Row],[Количество 30.08.2018]]/Таблица1[[#This Row],[ПОН КС без линейных]]</f>
        <v>1.0231532524807057</v>
      </c>
      <c r="AA103" s="15">
        <f>Таблица1[[#This Row],[Количество 30.08.2018]]/Таблица1[[#This Row],[ПОН КС без линейных и месторождений]]</f>
        <v>1.0231532524807057</v>
      </c>
    </row>
    <row r="104" spans="1:27" x14ac:dyDescent="0.25">
      <c r="A104" s="4">
        <v>8617</v>
      </c>
      <c r="B104" s="5" t="s">
        <v>95</v>
      </c>
      <c r="C104" s="10">
        <v>909</v>
      </c>
      <c r="D104" s="10">
        <v>968</v>
      </c>
      <c r="E104" s="10">
        <v>909</v>
      </c>
      <c r="F104" s="10"/>
      <c r="G104" s="10">
        <f>Таблица1[[#This Row],[Кол-во месторождений]]+Таблица1[[#This Row],[Количество ПОН КС (без месторождений)]]</f>
        <v>909</v>
      </c>
      <c r="H104" s="6">
        <v>906</v>
      </c>
      <c r="I104" s="6">
        <v>907</v>
      </c>
      <c r="J104" s="6">
        <v>0</v>
      </c>
      <c r="K104" s="6">
        <f>Таблица1[[#This Row],[Количество ФИАС2]]-Таблица1[[#This Row],[Количество ФИАС]]</f>
        <v>1</v>
      </c>
      <c r="L104" s="7">
        <f>Таблица1[[#This Row],[Количество ФИАС2]]*100/Таблица1[[#This Row],[Количество ПОН КС (без месторождений)]]</f>
        <v>99.779977997799776</v>
      </c>
      <c r="M104" s="13">
        <f>Таблица1[[#This Row],[Количество ПОН КС (с месторождений)]]+Таблица1[[#This Row],[Кол-во месторождений]]</f>
        <v>968</v>
      </c>
      <c r="N104" s="6">
        <v>880</v>
      </c>
      <c r="O104" s="10">
        <v>21</v>
      </c>
      <c r="P104" s="10">
        <v>0</v>
      </c>
      <c r="Q104" s="10">
        <f>Таблица1[[#This Row],[Количество ПОН КС (с месторождениями)]]-Таблица1[[#This Row],[Количество линейных объектов]]</f>
        <v>888</v>
      </c>
      <c r="R104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888</v>
      </c>
      <c r="S104" s="6">
        <v>916</v>
      </c>
      <c r="T104" s="6">
        <f>Таблица1[[#This Row],[Количество ФИАС на 02.08.20182]]-Таблица1[[#This Row],[Количество ФИАС2]]</f>
        <v>9</v>
      </c>
      <c r="U104" s="6">
        <v>845</v>
      </c>
      <c r="V104" s="6">
        <v>890</v>
      </c>
      <c r="W104" s="6">
        <f>SUM(Таблица1[[#This Row],[Количество 27.08.20182]]-Таблица1[[#This Row],[Количество ФИАС на 02.08.20182]])</f>
        <v>-26</v>
      </c>
      <c r="X104" s="6">
        <v>886</v>
      </c>
      <c r="Y104" s="6">
        <f>Таблица1[[#This Row],[Количество 30.08.2018]]-Таблица1[[#This Row],[Количество ФИАС на 02.08.20182]]</f>
        <v>-30</v>
      </c>
      <c r="Z104" s="15">
        <f>Таблица1[[#This Row],[Количество 30.08.2018]]/Таблица1[[#This Row],[ПОН КС без линейных]]</f>
        <v>0.99774774774774777</v>
      </c>
      <c r="AA104" s="15">
        <f>Таблица1[[#This Row],[Количество 30.08.2018]]/Таблица1[[#This Row],[ПОН КС без линейных и месторождений]]</f>
        <v>0.99774774774774777</v>
      </c>
    </row>
    <row r="105" spans="1:27" x14ac:dyDescent="0.25">
      <c r="A105" s="4">
        <v>8617</v>
      </c>
      <c r="B105" s="5" t="s">
        <v>105</v>
      </c>
      <c r="C105" s="10">
        <v>8871</v>
      </c>
      <c r="D105" s="10">
        <v>43972</v>
      </c>
      <c r="E105" s="10">
        <v>8871</v>
      </c>
      <c r="F105" s="10">
        <v>37314</v>
      </c>
      <c r="G105" s="10">
        <f>Таблица1[[#This Row],[Кол-во месторождений]]+Таблица1[[#This Row],[Количество ПОН КС (без месторождений)]]</f>
        <v>46185</v>
      </c>
      <c r="H105" s="6">
        <v>919</v>
      </c>
      <c r="I105" s="6">
        <v>2389</v>
      </c>
      <c r="J105" s="6">
        <v>0</v>
      </c>
      <c r="K105" s="6">
        <f>Таблица1[[#This Row],[Количество ФИАС2]]-Таблица1[[#This Row],[Количество ФИАС]]</f>
        <v>1470</v>
      </c>
      <c r="L105" s="7">
        <f>Таблица1[[#This Row],[Количество ФИАС2]]*100/Таблица1[[#This Row],[Количество ПОН КС (без месторождений)]]</f>
        <v>26.930447525645363</v>
      </c>
      <c r="M105" s="13">
        <f>Таблица1[[#This Row],[Количество ПОН КС (с месторождений)]]+Таблица1[[#This Row],[Кол-во месторождений]]</f>
        <v>81286</v>
      </c>
      <c r="N105" s="6">
        <v>3247</v>
      </c>
      <c r="O105" s="10">
        <v>3667</v>
      </c>
      <c r="P105" s="10">
        <v>2157</v>
      </c>
      <c r="Q105" s="10">
        <f>Таблица1[[#This Row],[Количество ПОН КС (с месторождениями)]]-Таблица1[[#This Row],[Количество линейных объектов]]</f>
        <v>42518</v>
      </c>
      <c r="R105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7361</v>
      </c>
      <c r="S105" s="6">
        <v>2557</v>
      </c>
      <c r="T105" s="6">
        <f>Таблица1[[#This Row],[Количество ФИАС на 02.08.20182]]-Таблица1[[#This Row],[Количество ФИАС2]]</f>
        <v>168</v>
      </c>
      <c r="U105" s="6">
        <v>2558</v>
      </c>
      <c r="V105" s="6">
        <v>3358</v>
      </c>
      <c r="W105" s="6">
        <f>SUM(Таблица1[[#This Row],[Количество 27.08.20182]]-Таблица1[[#This Row],[Количество ФИАС на 02.08.20182]])</f>
        <v>801</v>
      </c>
      <c r="X105" s="6">
        <v>3419</v>
      </c>
      <c r="Y105" s="6">
        <f>Таблица1[[#This Row],[Количество 30.08.2018]]-Таблица1[[#This Row],[Количество ФИАС на 02.08.20182]]</f>
        <v>862</v>
      </c>
      <c r="Z105" s="15">
        <f>Таблица1[[#This Row],[Количество 30.08.2018]]/Таблица1[[#This Row],[ПОН КС без линейных]]</f>
        <v>8.0413001552283744E-2</v>
      </c>
      <c r="AA105" s="15">
        <f>Таблица1[[#This Row],[Количество 30.08.2018]]/Таблица1[[#This Row],[ПОН КС без линейных и месторождений]]</f>
        <v>0.4644749354707241</v>
      </c>
    </row>
    <row r="106" spans="1:27" x14ac:dyDescent="0.25">
      <c r="A106" s="4">
        <v>8617</v>
      </c>
      <c r="B106" s="5" t="s">
        <v>96</v>
      </c>
      <c r="C106" s="10">
        <v>24093</v>
      </c>
      <c r="D106" s="10">
        <v>24292</v>
      </c>
      <c r="E106" s="10">
        <v>24093</v>
      </c>
      <c r="F106" s="10">
        <v>15</v>
      </c>
      <c r="G106" s="10">
        <f>Таблица1[[#This Row],[Кол-во месторождений]]+Таблица1[[#This Row],[Количество ПОН КС (без месторождений)]]</f>
        <v>24108</v>
      </c>
      <c r="H106" s="6">
        <v>17598</v>
      </c>
      <c r="I106" s="6">
        <v>17603</v>
      </c>
      <c r="J106" s="6">
        <v>6786</v>
      </c>
      <c r="K106" s="6">
        <f>Таблица1[[#This Row],[Количество ФИАС2]]-Таблица1[[#This Row],[Количество ФИАС]]</f>
        <v>5</v>
      </c>
      <c r="L106" s="7">
        <f>Таблица1[[#This Row],[Количество ФИАС2]]*100/Таблица1[[#This Row],[Количество ПОН КС (без месторождений)]]</f>
        <v>73.062715311501265</v>
      </c>
      <c r="M106" s="13">
        <f>Таблица1[[#This Row],[Количество ПОН КС (с месторождений)]]+Таблица1[[#This Row],[Кол-во месторождений]]</f>
        <v>24307</v>
      </c>
      <c r="N106" s="6">
        <v>19000</v>
      </c>
      <c r="O106" s="10">
        <v>220</v>
      </c>
      <c r="P106" s="10">
        <v>27</v>
      </c>
      <c r="Q106" s="10">
        <f>Таблица1[[#This Row],[Количество ПОН КС (с месторождениями)]]-Таблица1[[#This Row],[Количество линейных объектов]]</f>
        <v>23888</v>
      </c>
      <c r="R106" s="10">
        <f>Таблица1[[#This Row],[Количество ПОН КС (без месторождений)]]-Таблица1[[#This Row],[Количество линейных объектов]]+Таблица1[[#This Row],[В т.ч. Линейные на месторождениях]]</f>
        <v>23900</v>
      </c>
      <c r="S106" s="6">
        <v>17605</v>
      </c>
      <c r="T106" s="6">
        <f>Таблица1[[#This Row],[Количество ФИАС на 02.08.20182]]-Таблица1[[#This Row],[Количество ФИАС2]]</f>
        <v>2</v>
      </c>
      <c r="U106" s="6">
        <v>17919</v>
      </c>
      <c r="V106" s="6">
        <v>19058</v>
      </c>
      <c r="W106" s="6">
        <f>SUM(Таблица1[[#This Row],[Количество 27.08.20182]]-Таблица1[[#This Row],[Количество ФИАС на 02.08.20182]])</f>
        <v>1453</v>
      </c>
      <c r="X106" s="6">
        <v>19058</v>
      </c>
      <c r="Y106" s="6">
        <f>Таблица1[[#This Row],[Количество 30.08.2018]]-Таблица1[[#This Row],[Количество ФИАС на 02.08.20182]]</f>
        <v>1453</v>
      </c>
      <c r="Z106" s="15">
        <f>Таблица1[[#This Row],[Количество 30.08.2018]]/Таблица1[[#This Row],[ПОН КС без линейных]]</f>
        <v>0.79780643000669793</v>
      </c>
      <c r="AA106" s="15">
        <f>Таблица1[[#This Row],[Количество 30.08.2018]]/Таблица1[[#This Row],[ПОН КС без линейных и месторождений]]</f>
        <v>0.79740585774058581</v>
      </c>
    </row>
    <row r="107" spans="1:27" x14ac:dyDescent="0.25">
      <c r="A107" s="2" t="s">
        <v>106</v>
      </c>
      <c r="C107" s="11">
        <f>SUBTOTAL(109,Таблица1[Количество ПОН КС (без месторождений)])</f>
        <v>74378</v>
      </c>
      <c r="D107" s="11">
        <f>SUBTOTAL(109,Таблица1[Количество ПОН КС (с месторождений)])</f>
        <v>111787</v>
      </c>
      <c r="E107" s="11"/>
      <c r="F107" s="11">
        <f>SUBTOTAL(109,Таблица1[Кол-во месторождений])</f>
        <v>37329</v>
      </c>
      <c r="G107" s="11">
        <f>SUBTOTAL(109,Таблица1[Количество ПОН КС (с месторождениями)])</f>
        <v>111707</v>
      </c>
      <c r="H107" s="3">
        <f>SUBTOTAL(109,Таблица1[Количество ФИАС])</f>
        <v>52382</v>
      </c>
      <c r="I107" s="3">
        <f>SUBTOTAL(109,Таблица1[Количество ФИАС2])</f>
        <v>53914</v>
      </c>
      <c r="J107" s="8">
        <f>SUBTOTAL(109,Таблица1[Количество ФИАС без ИФНС])</f>
        <v>6851</v>
      </c>
      <c r="K107" s="3">
        <f>SUBTOTAL(109,Таблица1[Разница])</f>
        <v>1532</v>
      </c>
      <c r="M107" s="3">
        <f>M92+M93+M94+M95+M96+M97+M98+M99+M100+M101+M102+M103+M104+M105+M106</f>
        <v>149116</v>
      </c>
      <c r="N107" s="3">
        <f>SUBTOTAL(109,Таблица1[Количество ФИАС на 05.07.2018])</f>
        <v>57938</v>
      </c>
      <c r="O107" s="11">
        <f>SUBTOTAL(109,Таблица1[Количество линейных объектов])</f>
        <v>4408</v>
      </c>
      <c r="P107" s="11">
        <f>SUBTOTAL(109,Таблица1[В т.ч. Линейные на месторождениях])</f>
        <v>2185</v>
      </c>
      <c r="Q107" s="11">
        <f>SUBTOTAL(109,Таблица1[ПОН КС без линейных])</f>
        <v>107299</v>
      </c>
      <c r="R107" s="3">
        <f>SUBTOTAL(109,Таблица1[ПОН КС без линейных и месторождений])</f>
        <v>72155</v>
      </c>
      <c r="S107" s="3">
        <f>SUBTOTAL(109,Таблица1[Количество ФИАС на 02.08.20182])</f>
        <v>54820</v>
      </c>
      <c r="T107" s="3" t="e">
        <f>SUBTOTAL(109,Таблица1[Разница2])</f>
        <v>#VALUE!</v>
      </c>
      <c r="U107" s="3">
        <f>SUBTOTAL(109,Таблица1[Количество 10.08.2018])</f>
        <v>56637</v>
      </c>
      <c r="V107" s="3">
        <f>SUBTOTAL(109,Таблица1[Количество 27.08.20182])</f>
        <v>62300</v>
      </c>
      <c r="W107" s="3">
        <f>Таблица1[[#Totals],[Количество 27.08.20182]]-Таблица1[[#Totals],[Количество ФИАС на 02.08.20182]]</f>
        <v>7480</v>
      </c>
      <c r="X107" s="3">
        <f>SUBTOTAL(109,Таблица1[Количество 30.08.2018])</f>
        <v>63538</v>
      </c>
      <c r="Y107" s="3">
        <f>Y92+Y93+Y94+Y95+Y96+Y98+Y99+Y100+Y101+Y102+Y103+Y104+Y105+Y106</f>
        <v>8367</v>
      </c>
      <c r="Z107" s="24">
        <f>Таблица1[[#Totals],[Количество 30.08.2018]]/Таблица1[[#Totals],[ПОН КС без линейных]]</f>
        <v>0.59215836121492282</v>
      </c>
      <c r="AA107" s="25">
        <f>Таблица1[[#Totals],[Количество 30.08.2018]]/Таблица1[[#Totals],[ПОН КС без линейных и месторождений]]</f>
        <v>0.88057653662254864</v>
      </c>
    </row>
    <row r="109" spans="1:27" x14ac:dyDescent="0.25">
      <c r="B109" s="1" t="s">
        <v>105</v>
      </c>
      <c r="C109" s="9">
        <f>Таблица1[[#Totals],[Количество ПОН КС (без месторождений)]]-C106</f>
        <v>50285</v>
      </c>
      <c r="D109" s="9">
        <f>Таблица1[[#Totals],[Количество ПОН КС (с месторождений)]]-D106</f>
        <v>87495</v>
      </c>
      <c r="E109" s="9">
        <f>Таблица1[[#Totals],[Столбец2]]-E106</f>
        <v>-24093</v>
      </c>
      <c r="F109" s="9">
        <f>Таблица1[[#Totals],[Кол-во месторождений]]-F106</f>
        <v>37314</v>
      </c>
      <c r="G109" s="9">
        <f>Таблица1[[#Totals],[Количество ПОН КС (с месторождениями)]]-G106</f>
        <v>87599</v>
      </c>
      <c r="H109" s="9">
        <f>Таблица1[[#Totals],[Количество ФИАС]]-H106</f>
        <v>34784</v>
      </c>
      <c r="I109" s="9">
        <f>Таблица1[[#Totals],[Количество ФИАС2]]-I106</f>
        <v>36311</v>
      </c>
      <c r="J109" s="9">
        <f>Таблица1[[#Totals],[Количество ФИАС без ИФНС]]-J106</f>
        <v>65</v>
      </c>
      <c r="K109" s="9">
        <f>Таблица1[[#Totals],[Разница]]-K106</f>
        <v>1527</v>
      </c>
      <c r="L109" s="23">
        <f>I109/C109</f>
        <v>0.72210400715919265</v>
      </c>
      <c r="M109" s="26">
        <f>Таблица1[[#Totals],[Столбец1]]-M106</f>
        <v>124809</v>
      </c>
      <c r="N109" s="26">
        <f>Таблица1[[#Totals],[Количество ФИАС на 05.07.2018]]-N106</f>
        <v>38938</v>
      </c>
      <c r="O109" s="26">
        <f>Таблица1[[#Totals],[Количество линейных объектов]]-O106</f>
        <v>4188</v>
      </c>
      <c r="P109" s="26">
        <f>Таблица1[[#Totals],[Количество линейных объектов]]-P106</f>
        <v>4381</v>
      </c>
      <c r="Q109" s="26">
        <f>Таблица1[[#Totals],[ПОН КС без линейных]]-Q106</f>
        <v>83411</v>
      </c>
      <c r="R109" s="26">
        <f>Таблица1[[#Totals],[ПОН КС без линейных и месторождений]]-R106</f>
        <v>48255</v>
      </c>
      <c r="S109" s="26">
        <f>Таблица1[[#Totals],[ПОН КС без линейных и месторождений]]-S106</f>
        <v>54550</v>
      </c>
      <c r="T109" s="26">
        <f>Таблица1[[#Totals],[Количество ФИАС на 02.08.20182]]-T106</f>
        <v>54818</v>
      </c>
      <c r="U109" s="26">
        <f>Таблица1[[#Totals],[Количество ФИАС на 02.08.20182]]-U106</f>
        <v>36901</v>
      </c>
      <c r="V109" s="26">
        <f>Таблица1[[#Totals],[Количество 27.08.20182]]-V106</f>
        <v>43242</v>
      </c>
      <c r="W109" s="26" t="e">
        <f>Таблица1[[#Totals],[Разница2]]-W106</f>
        <v>#VALUE!</v>
      </c>
      <c r="X109" s="26">
        <f>Таблица1[[#Totals],[Количество 10.08.2018]]-X106</f>
        <v>37579</v>
      </c>
      <c r="Y109" s="26">
        <f>Таблица1[[#Totals],[Количество 27.08.20182]]-Y106</f>
        <v>60847</v>
      </c>
      <c r="Z109" s="16">
        <f>X108:X109/Q109</f>
        <v>0.45052810780352709</v>
      </c>
      <c r="AA109" s="15">
        <f>X109/R109</f>
        <v>0.77875867785721686</v>
      </c>
    </row>
    <row r="110" spans="1:27" x14ac:dyDescent="0.25">
      <c r="Z110" s="27"/>
    </row>
  </sheetData>
  <conditionalFormatting sqref="K1:K106 J108 J110:J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.74803149606299213" bottom="0.74803149606299213" header="0.31496062992125984" footer="0.31496062992125984"/>
  <pageSetup paperSize="9" scale="43" orientation="landscape" r:id="rId1"/>
  <headerFooter>
    <oddFooter>&amp;Z&amp;F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УФНС России по ХМАО-Югре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 Олег</dc:creator>
  <cp:lastModifiedBy>Полеенко Ольга Николаевна</cp:lastModifiedBy>
  <cp:lastPrinted>2018-09-17T06:12:35Z</cp:lastPrinted>
  <dcterms:created xsi:type="dcterms:W3CDTF">2018-07-12T08:34:24Z</dcterms:created>
  <dcterms:modified xsi:type="dcterms:W3CDTF">2018-09-17T06:12:45Z</dcterms:modified>
</cp:coreProperties>
</file>